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65" windowWidth="14400" windowHeight="12750"/>
  </bookViews>
  <sheets>
    <sheet name="Ballast" sheetId="1" r:id="rId1"/>
    <sheet name="Worksheet" sheetId="4" r:id="rId2"/>
    <sheet name="G1 Shallow" sheetId="2" r:id="rId3"/>
    <sheet name="G1 Deep" sheetId="5" r:id="rId4"/>
    <sheet name="G2" sheetId="9" r:id="rId5"/>
    <sheet name="G2 DVL" sheetId="10" r:id="rId6"/>
    <sheet name="G2 EN" sheetId="13" r:id="rId7"/>
    <sheet name="G2 EnergySci Bay" sheetId="11" r:id="rId8"/>
    <sheet name="Revision History" sheetId="14" r:id="rId9"/>
    <sheet name="Constants" sheetId="6" state="hidden" r:id="rId10"/>
  </sheets>
  <definedNames>
    <definedName name="aft_config" localSheetId="4">Constants!$F$3:$F$7</definedName>
    <definedName name="aft_config" localSheetId="5">Constants!$F$3:$F$7</definedName>
    <definedName name="aft_config" localSheetId="6">Constants!$F$3:$F$7</definedName>
    <definedName name="aft_config" localSheetId="7">Constants!$F$3:$F$7</definedName>
    <definedName name="aft_config">Constants!$D$2:$D$6</definedName>
    <definedName name="battery_type" localSheetId="4">Constants!$E$3:$E$4</definedName>
    <definedName name="battery_type" localSheetId="5">Constants!$E$3:$E$4</definedName>
    <definedName name="battery_type" localSheetId="6">Constants!$E$3:$E$4</definedName>
    <definedName name="battery_type" localSheetId="7">Constants!$E$3:$E$4</definedName>
    <definedName name="battery_type">Constants!$C$2:$C$3</definedName>
    <definedName name="glider_type">Constants!$A$2:$A$6</definedName>
    <definedName name="nose_config" localSheetId="4">Constants!$G$3:$G$5</definedName>
    <definedName name="nose_config" localSheetId="5">Constants!$G$3:$G$5</definedName>
    <definedName name="nose_config" localSheetId="6">Constants!$G$3:$G$5</definedName>
    <definedName name="nose_config" localSheetId="7">Constants!$G$3:$G$5</definedName>
    <definedName name="nose_config">Constants!$F$2:$F$5</definedName>
    <definedName name="pinger_style">Constants!$J$2:$J$6</definedName>
    <definedName name="pond_wings">Constants!$H$2:$H$5</definedName>
    <definedName name="_xlnm.Print_Area" localSheetId="0">Ballast!$A$1:$H$94</definedName>
    <definedName name="_xlnm.Print_Area" localSheetId="3">'G1 Deep'!$A$1:$E$64</definedName>
    <definedName name="_xlnm.Print_Area" localSheetId="2">'G1 Shallow'!$A$1:$E$63</definedName>
    <definedName name="_xlnm.Print_Area" localSheetId="4">'G2'!$A$1:$E$64</definedName>
    <definedName name="_xlnm.Print_Area" localSheetId="5">'G2 DVL'!$A$1:$E$64</definedName>
    <definedName name="_xlnm.Print_Area" localSheetId="6">'G2 EN'!$A$1:$E$64</definedName>
    <definedName name="_xlnm.Print_Area" localSheetId="7">'G2 EnergySci Bay'!$A$1:$E$63</definedName>
    <definedName name="_xlnm.Print_Area" localSheetId="8">'Revision History'!$A$1:$D$22</definedName>
    <definedName name="_xlnm.Print_Area" localSheetId="1">Worksheet!$A$1:$H$54</definedName>
    <definedName name="_xlnm.Print_Titles" localSheetId="0">Ballast!$1:$5</definedName>
    <definedName name="weight_type" localSheetId="4">Constants!$H$3:$H$4</definedName>
    <definedName name="weight_type" localSheetId="5">Constants!$H$3:$H$4</definedName>
    <definedName name="weight_type" localSheetId="6">Constants!$H$3:$H$4</definedName>
    <definedName name="weight_type" localSheetId="7">Constants!$H$3:$H$4</definedName>
    <definedName name="weight_type">Constants!$G$2:$G$3</definedName>
  </definedNames>
  <calcPr calcId="145621" iterateDelta="1E-4"/>
</workbook>
</file>

<file path=xl/calcChain.xml><?xml version="1.0" encoding="utf-8"?>
<calcChain xmlns="http://schemas.openxmlformats.org/spreadsheetml/2006/main">
  <c r="C54" i="4" l="1"/>
  <c r="C53" i="4"/>
  <c r="C29" i="1"/>
  <c r="C28" i="1"/>
  <c r="C17" i="6" l="1"/>
  <c r="D17" i="6" s="1"/>
  <c r="C72" i="1" l="1"/>
  <c r="E72" i="1" s="1"/>
  <c r="B8" i="11" l="1"/>
  <c r="B8" i="13"/>
  <c r="B8" i="10"/>
  <c r="B8" i="9"/>
  <c r="B8" i="5"/>
  <c r="B8" i="2"/>
  <c r="C7" i="4" l="1"/>
  <c r="B7" i="11"/>
  <c r="B7" i="13"/>
  <c r="B7" i="10"/>
  <c r="B7" i="9"/>
  <c r="B7" i="5"/>
  <c r="B7" i="2"/>
  <c r="C83" i="1" l="1"/>
  <c r="E83" i="1" s="1"/>
  <c r="C9" i="4"/>
  <c r="C8" i="4"/>
  <c r="E4" i="11" l="1"/>
  <c r="E3" i="11"/>
  <c r="E2" i="11"/>
  <c r="E1" i="11"/>
  <c r="E4" i="13"/>
  <c r="E3" i="13"/>
  <c r="E2" i="13"/>
  <c r="E1" i="13"/>
  <c r="E4" i="10"/>
  <c r="E3" i="10"/>
  <c r="E2" i="10"/>
  <c r="E1" i="10"/>
  <c r="E4" i="9"/>
  <c r="E3" i="9"/>
  <c r="E2" i="9"/>
  <c r="E1" i="9"/>
  <c r="B68" i="13" l="1"/>
  <c r="C62" i="13" s="1"/>
  <c r="B67" i="13"/>
  <c r="C61" i="13" s="1"/>
  <c r="C56" i="13"/>
  <c r="F56" i="13" s="1"/>
  <c r="F55" i="13"/>
  <c r="B55" i="13"/>
  <c r="F54" i="13"/>
  <c r="B54" i="13"/>
  <c r="F53" i="13"/>
  <c r="B53" i="13"/>
  <c r="F52" i="13"/>
  <c r="B52" i="13"/>
  <c r="F51" i="13"/>
  <c r="B51" i="13"/>
  <c r="F50" i="13"/>
  <c r="B50" i="13"/>
  <c r="F49" i="13"/>
  <c r="D49" i="13"/>
  <c r="B49" i="13"/>
  <c r="F48" i="13"/>
  <c r="B48" i="13"/>
  <c r="C42" i="13"/>
  <c r="B71" i="13" s="1"/>
  <c r="C41" i="13"/>
  <c r="D54" i="13" s="1"/>
  <c r="C40" i="13"/>
  <c r="D53" i="13" s="1"/>
  <c r="C39" i="13"/>
  <c r="D52" i="13" s="1"/>
  <c r="C38" i="13"/>
  <c r="D51" i="13" s="1"/>
  <c r="C37" i="13"/>
  <c r="D50" i="13" s="1"/>
  <c r="C36" i="13"/>
  <c r="C35" i="13"/>
  <c r="B70" i="13" s="1"/>
  <c r="E26" i="13"/>
  <c r="C26" i="13"/>
  <c r="E25" i="13"/>
  <c r="C25" i="13"/>
  <c r="E19" i="13"/>
  <c r="E18" i="13"/>
  <c r="C44" i="1"/>
  <c r="C28" i="13" l="1"/>
  <c r="D48" i="13"/>
  <c r="D55" i="13"/>
  <c r="C18" i="6"/>
  <c r="D18" i="6" s="1"/>
  <c r="D56" i="13" l="1"/>
  <c r="B68" i="11"/>
  <c r="C62" i="11" s="1"/>
  <c r="B67" i="11"/>
  <c r="C61" i="11" s="1"/>
  <c r="C56" i="11"/>
  <c r="F56" i="11" s="1"/>
  <c r="F55" i="11"/>
  <c r="B55" i="11"/>
  <c r="F54" i="11"/>
  <c r="B54" i="11"/>
  <c r="F53" i="11"/>
  <c r="B53" i="11"/>
  <c r="F52" i="11"/>
  <c r="B52" i="11"/>
  <c r="F51" i="11"/>
  <c r="B51" i="11"/>
  <c r="F50" i="11"/>
  <c r="B50" i="11"/>
  <c r="F49" i="11"/>
  <c r="D49" i="11"/>
  <c r="B49" i="11"/>
  <c r="F48" i="11"/>
  <c r="B48" i="11"/>
  <c r="C42" i="11"/>
  <c r="B71" i="11" s="1"/>
  <c r="C41" i="11"/>
  <c r="D54" i="11" s="1"/>
  <c r="C40" i="11"/>
  <c r="D53" i="11" s="1"/>
  <c r="C39" i="11"/>
  <c r="D52" i="11" s="1"/>
  <c r="C38" i="11"/>
  <c r="D51" i="11" s="1"/>
  <c r="C37" i="11"/>
  <c r="D50" i="11" s="1"/>
  <c r="C36" i="11"/>
  <c r="C35" i="11"/>
  <c r="B70" i="11" s="1"/>
  <c r="E26" i="11"/>
  <c r="C26" i="11"/>
  <c r="E25" i="11"/>
  <c r="C25" i="11"/>
  <c r="E19" i="11"/>
  <c r="E18" i="11"/>
  <c r="C40" i="10"/>
  <c r="B68" i="10"/>
  <c r="C62" i="10" s="1"/>
  <c r="B67" i="10"/>
  <c r="C61" i="10" s="1"/>
  <c r="C56" i="10"/>
  <c r="F56" i="10" s="1"/>
  <c r="F55" i="10"/>
  <c r="B55" i="10"/>
  <c r="F54" i="10"/>
  <c r="B54" i="10"/>
  <c r="F53" i="10"/>
  <c r="B53" i="10"/>
  <c r="F52" i="10"/>
  <c r="B52" i="10"/>
  <c r="F51" i="10"/>
  <c r="B51" i="10"/>
  <c r="F50" i="10"/>
  <c r="B50" i="10"/>
  <c r="F49" i="10"/>
  <c r="B49" i="10"/>
  <c r="F48" i="10"/>
  <c r="B48" i="10"/>
  <c r="C42" i="10"/>
  <c r="B71" i="10" s="1"/>
  <c r="C41" i="10"/>
  <c r="D54" i="10" s="1"/>
  <c r="D53" i="10"/>
  <c r="C39" i="10"/>
  <c r="D52" i="10" s="1"/>
  <c r="C38" i="10"/>
  <c r="D51" i="10" s="1"/>
  <c r="C37" i="10"/>
  <c r="D50" i="10" s="1"/>
  <c r="C36" i="10"/>
  <c r="D49" i="10" s="1"/>
  <c r="C35" i="10"/>
  <c r="B70" i="10" s="1"/>
  <c r="E26" i="10"/>
  <c r="C26" i="10"/>
  <c r="E25" i="10"/>
  <c r="C25" i="10"/>
  <c r="E19" i="10"/>
  <c r="E18" i="10"/>
  <c r="B68" i="9"/>
  <c r="C62" i="9" s="1"/>
  <c r="B67" i="9"/>
  <c r="C61" i="9" s="1"/>
  <c r="C56" i="9"/>
  <c r="F56" i="9" s="1"/>
  <c r="F55" i="9"/>
  <c r="B55" i="9"/>
  <c r="F54" i="9"/>
  <c r="B54" i="9"/>
  <c r="F53" i="9"/>
  <c r="B53" i="9"/>
  <c r="F52" i="9"/>
  <c r="B52" i="9"/>
  <c r="F51" i="9"/>
  <c r="B51" i="9"/>
  <c r="F50" i="9"/>
  <c r="B50" i="9"/>
  <c r="F49" i="9"/>
  <c r="B49" i="9"/>
  <c r="F48" i="9"/>
  <c r="B48" i="9"/>
  <c r="C42" i="9"/>
  <c r="B71" i="9" s="1"/>
  <c r="C41" i="9"/>
  <c r="D54" i="9" s="1"/>
  <c r="C40" i="9"/>
  <c r="D53" i="9" s="1"/>
  <c r="C39" i="9"/>
  <c r="D52" i="9" s="1"/>
  <c r="C38" i="9"/>
  <c r="D51" i="9" s="1"/>
  <c r="C37" i="9"/>
  <c r="D50" i="9" s="1"/>
  <c r="C36" i="9"/>
  <c r="D49" i="9" s="1"/>
  <c r="C35" i="9"/>
  <c r="D48" i="9" s="1"/>
  <c r="E26" i="9"/>
  <c r="C26" i="9"/>
  <c r="E25" i="9"/>
  <c r="C25" i="9"/>
  <c r="E19" i="9"/>
  <c r="E18" i="9"/>
  <c r="C28" i="9" l="1"/>
  <c r="B70" i="9"/>
  <c r="D55" i="9"/>
  <c r="C60" i="13"/>
  <c r="B61" i="13"/>
  <c r="B62" i="13"/>
  <c r="B60" i="13"/>
  <c r="C28" i="11"/>
  <c r="D48" i="11"/>
  <c r="D55" i="11"/>
  <c r="C28" i="10"/>
  <c r="D48" i="10"/>
  <c r="D55" i="10"/>
  <c r="D56" i="9"/>
  <c r="B62" i="9" l="1"/>
  <c r="B61" i="9"/>
  <c r="C60" i="9"/>
  <c r="D56" i="11"/>
  <c r="D56" i="10"/>
  <c r="B60" i="9"/>
  <c r="C60" i="11" l="1"/>
  <c r="B62" i="11"/>
  <c r="B60" i="11"/>
  <c r="B61" i="11"/>
  <c r="C60" i="10"/>
  <c r="B60" i="10"/>
  <c r="B61" i="10"/>
  <c r="B62" i="10"/>
  <c r="G4" i="4"/>
  <c r="G3" i="4"/>
  <c r="G2" i="4"/>
  <c r="G1" i="4"/>
  <c r="E2" i="5"/>
  <c r="E3" i="5"/>
  <c r="E4" i="5"/>
  <c r="E1" i="5"/>
  <c r="E4" i="2"/>
  <c r="E3" i="2"/>
  <c r="E2" i="2"/>
  <c r="E1" i="2"/>
  <c r="C14" i="6" l="1"/>
  <c r="D14" i="6" s="1"/>
  <c r="C13" i="6"/>
  <c r="D13" i="6" s="1"/>
  <c r="B6" i="6" s="1"/>
  <c r="C12" i="6"/>
  <c r="D12" i="6" s="1"/>
  <c r="C11" i="6"/>
  <c r="D11" i="6" s="1"/>
  <c r="B2" i="6" s="1"/>
  <c r="B3" i="6" l="1"/>
  <c r="B5" i="6"/>
  <c r="B4" i="6"/>
  <c r="G15" i="4"/>
  <c r="G14" i="4"/>
  <c r="C15" i="4"/>
  <c r="C14" i="4"/>
  <c r="C10" i="4" l="1"/>
  <c r="C16" i="6"/>
  <c r="D16" i="6" s="1"/>
  <c r="C15" i="6"/>
  <c r="D15" i="6" s="1"/>
  <c r="I35" i="1" l="1"/>
  <c r="I32" i="1" l="1"/>
  <c r="I33" i="1"/>
  <c r="I34" i="1"/>
  <c r="C37" i="1"/>
  <c r="E37" i="1"/>
  <c r="E61" i="1"/>
  <c r="E62" i="1"/>
  <c r="E64" i="1"/>
  <c r="E65" i="1"/>
  <c r="C66" i="1"/>
  <c r="E67" i="1"/>
  <c r="E73" i="1"/>
  <c r="E84" i="1"/>
  <c r="E85" i="1"/>
  <c r="E86" i="1"/>
  <c r="E87" i="1"/>
  <c r="E91" i="1"/>
  <c r="E18" i="5"/>
  <c r="E19" i="5"/>
  <c r="C25" i="5"/>
  <c r="E25" i="5"/>
  <c r="C26" i="5"/>
  <c r="E26" i="5"/>
  <c r="C35" i="5"/>
  <c r="D48" i="5" s="1"/>
  <c r="C36" i="5"/>
  <c r="D49" i="5" s="1"/>
  <c r="C37" i="5"/>
  <c r="D50" i="5" s="1"/>
  <c r="C38" i="5"/>
  <c r="C39" i="5"/>
  <c r="D52" i="5" s="1"/>
  <c r="C40" i="5"/>
  <c r="D53" i="5" s="1"/>
  <c r="C41" i="5"/>
  <c r="C42" i="5"/>
  <c r="B71" i="5" s="1"/>
  <c r="B48" i="5"/>
  <c r="F48" i="5"/>
  <c r="B49" i="5"/>
  <c r="F49" i="5"/>
  <c r="B50" i="5"/>
  <c r="F50" i="5"/>
  <c r="B51" i="5"/>
  <c r="D51" i="5"/>
  <c r="F51" i="5"/>
  <c r="B52" i="5"/>
  <c r="F52" i="5"/>
  <c r="B53" i="5"/>
  <c r="F53" i="5"/>
  <c r="B54" i="5"/>
  <c r="D54" i="5"/>
  <c r="F54" i="5"/>
  <c r="B55" i="5"/>
  <c r="F55" i="5"/>
  <c r="C56" i="5"/>
  <c r="F56" i="5" s="1"/>
  <c r="B67" i="5"/>
  <c r="C61" i="5" s="1"/>
  <c r="B68" i="5"/>
  <c r="C62" i="5" s="1"/>
  <c r="E18" i="2"/>
  <c r="E19" i="2"/>
  <c r="C25" i="2"/>
  <c r="E25" i="2"/>
  <c r="C26" i="2"/>
  <c r="E26" i="2"/>
  <c r="C35" i="2"/>
  <c r="D48" i="2" s="1"/>
  <c r="C36" i="2"/>
  <c r="D49" i="2" s="1"/>
  <c r="C37" i="2"/>
  <c r="D50" i="2" s="1"/>
  <c r="C38" i="2"/>
  <c r="D51" i="2" s="1"/>
  <c r="B39" i="2"/>
  <c r="C39" i="2" s="1"/>
  <c r="D52" i="2" s="1"/>
  <c r="C40" i="2"/>
  <c r="B41" i="2"/>
  <c r="C41" i="2" s="1"/>
  <c r="D54" i="2" s="1"/>
  <c r="C42" i="2"/>
  <c r="D55" i="2" s="1"/>
  <c r="B48" i="2"/>
  <c r="F48" i="2"/>
  <c r="B49" i="2"/>
  <c r="F49" i="2"/>
  <c r="B50" i="2"/>
  <c r="F50" i="2"/>
  <c r="B51" i="2"/>
  <c r="F51" i="2"/>
  <c r="B52" i="2"/>
  <c r="F52" i="2"/>
  <c r="B53" i="2"/>
  <c r="D53" i="2"/>
  <c r="F53" i="2"/>
  <c r="B54" i="2"/>
  <c r="F54" i="2"/>
  <c r="B55" i="2"/>
  <c r="F55" i="2"/>
  <c r="C56" i="2"/>
  <c r="F56" i="2" s="1"/>
  <c r="B67" i="2"/>
  <c r="C61" i="2" s="1"/>
  <c r="B68" i="2"/>
  <c r="C62" i="2" s="1"/>
  <c r="B70" i="5"/>
  <c r="D55" i="5" l="1"/>
  <c r="D56" i="5" s="1"/>
  <c r="C28" i="5"/>
  <c r="C70" i="1"/>
  <c r="C28" i="2"/>
  <c r="B71" i="2"/>
  <c r="C38" i="1"/>
  <c r="C16" i="4"/>
  <c r="E38" i="1"/>
  <c r="G16" i="4"/>
  <c r="D56" i="2"/>
  <c r="B70" i="2"/>
  <c r="C74" i="1" l="1"/>
  <c r="C60" i="5"/>
  <c r="B60" i="5"/>
  <c r="B61" i="5"/>
  <c r="B62" i="5"/>
  <c r="C17" i="4"/>
  <c r="C89" i="1"/>
  <c r="C92" i="1" s="1"/>
  <c r="B61" i="2"/>
  <c r="B62" i="2"/>
  <c r="G32" i="1"/>
  <c r="G38" i="1"/>
  <c r="G17" i="4"/>
  <c r="I38" i="1"/>
  <c r="I39" i="1" s="1"/>
  <c r="B60" i="2"/>
  <c r="C60" i="2"/>
  <c r="C11" i="4" l="1"/>
  <c r="G39" i="1"/>
  <c r="C41" i="1" l="1"/>
  <c r="C20" i="13"/>
  <c r="C20" i="10"/>
  <c r="C20" i="9"/>
  <c r="C20" i="11"/>
  <c r="C20" i="5"/>
  <c r="C21" i="5" s="1"/>
  <c r="C20" i="2"/>
  <c r="B59" i="2" s="1"/>
  <c r="B21" i="9" l="1"/>
  <c r="C21" i="9"/>
  <c r="B59" i="9"/>
  <c r="C59" i="9"/>
  <c r="C21" i="10"/>
  <c r="C59" i="10"/>
  <c r="B59" i="10"/>
  <c r="B21" i="10"/>
  <c r="C21" i="13"/>
  <c r="B59" i="13"/>
  <c r="C59" i="13"/>
  <c r="B21" i="13"/>
  <c r="C21" i="11"/>
  <c r="B59" i="11"/>
  <c r="C59" i="11"/>
  <c r="B21" i="11"/>
  <c r="B21" i="5"/>
  <c r="C59" i="5"/>
  <c r="B59" i="5"/>
  <c r="C21" i="2"/>
  <c r="B21" i="2"/>
  <c r="C59" i="2"/>
</calcChain>
</file>

<file path=xl/sharedStrings.xml><?xml version="1.0" encoding="utf-8"?>
<sst xmlns="http://schemas.openxmlformats.org/spreadsheetml/2006/main" count="660" uniqueCount="249">
  <si>
    <t>Glider Name:</t>
  </si>
  <si>
    <t>Date:</t>
  </si>
  <si>
    <t>Liters</t>
  </si>
  <si>
    <t>Target Water</t>
  </si>
  <si>
    <t>Tank Water</t>
  </si>
  <si>
    <t>Weight Change</t>
  </si>
  <si>
    <t>pss</t>
  </si>
  <si>
    <r>
      <t>g/L</t>
    </r>
    <r>
      <rPr>
        <vertAlign val="superscript"/>
        <sz val="10"/>
        <rFont val="Arial"/>
        <family val="2"/>
      </rPr>
      <t>o</t>
    </r>
    <r>
      <rPr>
        <sz val="10"/>
        <rFont val="Arial"/>
        <family val="2"/>
      </rPr>
      <t>C</t>
    </r>
  </si>
  <si>
    <r>
      <t>o</t>
    </r>
    <r>
      <rPr>
        <sz val="10"/>
        <rFont val="Arial"/>
        <family val="2"/>
      </rPr>
      <t>C</t>
    </r>
  </si>
  <si>
    <t>Total Weight Adjustment:</t>
  </si>
  <si>
    <t>grams</t>
  </si>
  <si>
    <t>1- Place well-ballasted glider in tank with wings.</t>
  </si>
  <si>
    <t>2- Add a known amount of weight (~300 g) on one wing rail</t>
  </si>
  <si>
    <t>3- Attach a spring scale to the glider on the opposite wing rail</t>
  </si>
  <si>
    <t>4- Measure the weight change shown on the spring scale</t>
  </si>
  <si>
    <t>mm</t>
  </si>
  <si>
    <t>H-distance</t>
  </si>
  <si>
    <t>Pitch Range</t>
  </si>
  <si>
    <t>Degrees</t>
  </si>
  <si>
    <t>s/m</t>
  </si>
  <si>
    <t>2- Record m_pitch and m_battpos</t>
  </si>
  <si>
    <t>4- Record m_pitch and m_battpos</t>
  </si>
  <si>
    <t>kg</t>
  </si>
  <si>
    <t>radians</t>
  </si>
  <si>
    <t>inches</t>
  </si>
  <si>
    <t>Weight of Pitch Battery</t>
  </si>
  <si>
    <t>Pitch_1</t>
  </si>
  <si>
    <t>Battery Position_1</t>
  </si>
  <si>
    <t>Pitch_2</t>
  </si>
  <si>
    <t>Battery Position_2</t>
  </si>
  <si>
    <t>degrees</t>
  </si>
  <si>
    <t>Roll Start</t>
  </si>
  <si>
    <t>Roll End</t>
  </si>
  <si>
    <t>Weight on Spring</t>
  </si>
  <si>
    <t>Weight added on wing rail</t>
  </si>
  <si>
    <t>Angle of Rotation</t>
  </si>
  <si>
    <t>(radius of hull: 200m=107, 1000m=110)</t>
  </si>
  <si>
    <t>Calculated/given Salinity</t>
  </si>
  <si>
    <t>Glider:</t>
  </si>
  <si>
    <t>inchgrams</t>
  </si>
  <si>
    <t>Aft</t>
  </si>
  <si>
    <t>H-Distance</t>
  </si>
  <si>
    <t>Fwd scale position</t>
  </si>
  <si>
    <t>Aft scale position</t>
  </si>
  <si>
    <t>Center of Buoyancy:</t>
  </si>
  <si>
    <t>Coordinate Setup:</t>
  </si>
  <si>
    <t>The reference point everything is measured from is the forward edge of the forward hull.</t>
  </si>
  <si>
    <t>From fwd hull</t>
  </si>
  <si>
    <t>Fwd Scale reading:</t>
  </si>
  <si>
    <t>Aft Scale reading:</t>
  </si>
  <si>
    <t>Adjustment from ballasting sheet:</t>
  </si>
  <si>
    <t>From center of buoyancy</t>
  </si>
  <si>
    <t>Center</t>
  </si>
  <si>
    <t>Weight Position</t>
  </si>
  <si>
    <t>Forward top</t>
  </si>
  <si>
    <t>Forward bottom</t>
  </si>
  <si>
    <t>Sci fwd bottles</t>
  </si>
  <si>
    <t>Sci fwd disc</t>
  </si>
  <si>
    <t>Sci aft disc</t>
  </si>
  <si>
    <t>Sci aft bottles</t>
  </si>
  <si>
    <t>Weight adjustment</t>
  </si>
  <si>
    <t>Center of Mass adjustment</t>
  </si>
  <si>
    <t>row of first spot</t>
  </si>
  <si>
    <t>row of second spot</t>
  </si>
  <si>
    <t>pos of first spot</t>
  </si>
  <si>
    <t>pos of second spot</t>
  </si>
  <si>
    <t>Weight adjustment section:</t>
  </si>
  <si>
    <t>Position:</t>
  </si>
  <si>
    <t>Weight adjustment calculation:</t>
  </si>
  <si>
    <t>Scale readings and setup:</t>
  </si>
  <si>
    <t>Red numbers indicate measured constants that will affect results.</t>
  </si>
  <si>
    <t>Temporary stuff that is needed because excel limits me to 7 nested functions:</t>
  </si>
  <si>
    <t>(grams)</t>
  </si>
  <si>
    <t>(inchgrams)</t>
  </si>
  <si>
    <t>Dist from fwd hull</t>
  </si>
  <si>
    <t>(inches)</t>
  </si>
  <si>
    <t>From CoB</t>
  </si>
  <si>
    <t>Coordinates of forward top and bottom bottles was measured with heavy end of bottle forward</t>
  </si>
  <si>
    <t>Calculated/given Density</t>
  </si>
  <si>
    <t>Temperature and</t>
  </si>
  <si>
    <t>(Density or</t>
  </si>
  <si>
    <t>Conductivity or</t>
  </si>
  <si>
    <t>Salinity)</t>
  </si>
  <si>
    <t>Off from center of buoyancy by this much:</t>
  </si>
  <si>
    <t>Zero if spot unavailable</t>
  </si>
  <si>
    <t>One if spot available</t>
  </si>
  <si>
    <t>3- Put battery position at 0</t>
  </si>
  <si>
    <t>Forward</t>
  </si>
  <si>
    <t>unused</t>
  </si>
  <si>
    <t>1- Put battery position (c_battpos) at about .25, ensure front of glider is not touching bottom of tank- adjust as necessary</t>
  </si>
  <si>
    <t>Notes:</t>
  </si>
  <si>
    <t>Instructions:</t>
  </si>
  <si>
    <t>1- Put glider in tank and attach scales, recording the point of attachment in scale setup section.</t>
  </si>
  <si>
    <t xml:space="preserve">&lt;-- when this change is made, the number below will be affected.  It is necessary </t>
  </si>
  <si>
    <t>to record both numbers so they can both be changed to the correct value.</t>
  </si>
  <si>
    <t>7- Remove glider from tank and make weight adjustments.  Put glider back in tank.  Clear weight adjustment cells and scale reading cells.  Repeat step 2 and check ballasting.</t>
  </si>
  <si>
    <t>Depending on which hole is used to bolt weight to the weight bar, coordinates of sci fwd disc</t>
  </si>
  <si>
    <t>and sci aft disc will need to be adjusted.</t>
  </si>
  <si>
    <t>Final</t>
  </si>
  <si>
    <t>Weight</t>
  </si>
  <si>
    <t>If you want to change anything, the password to unprotect the sheet is "glider"</t>
  </si>
  <si>
    <t>Glider Ballast Worksheet</t>
  </si>
  <si>
    <t>TANK WATER:</t>
  </si>
  <si>
    <t>TARGET WATER</t>
  </si>
  <si>
    <t>Payload</t>
  </si>
  <si>
    <t>Final Weight Configuration As Sent to Customer</t>
  </si>
  <si>
    <t>Port Bottle</t>
  </si>
  <si>
    <t>Top FWD</t>
  </si>
  <si>
    <t>Aft Bottle</t>
  </si>
  <si>
    <t>STBD Bottle</t>
  </si>
  <si>
    <t>Bottom FWD</t>
  </si>
  <si>
    <t>Bottom Bottle</t>
  </si>
  <si>
    <t>Top AFT</t>
  </si>
  <si>
    <t>Bottom AFT</t>
  </si>
  <si>
    <t>Sci fwd plates</t>
  </si>
  <si>
    <t>Sci aft plates</t>
  </si>
  <si>
    <t>Nose Weights</t>
  </si>
  <si>
    <t>Glider Type:</t>
  </si>
  <si>
    <t>Glider Types</t>
  </si>
  <si>
    <t>G1 Shallow (200m)</t>
  </si>
  <si>
    <t>G1 Deep (1000m)</t>
  </si>
  <si>
    <t>G2 Deep (1000m)</t>
  </si>
  <si>
    <t>Total Glider Displacement:</t>
  </si>
  <si>
    <t>in^3</t>
  </si>
  <si>
    <t>L</t>
  </si>
  <si>
    <t>Base Glider Displacement:</t>
  </si>
  <si>
    <t>Installed</t>
  </si>
  <si>
    <t>Volume of Additional Bay</t>
  </si>
  <si>
    <t>Ballasted by:</t>
  </si>
  <si>
    <t>Ballasting The Slocum Glider (Spreadsheet)</t>
  </si>
  <si>
    <t>Glider Displacement (L):</t>
  </si>
  <si>
    <t>Temperature (°C):</t>
  </si>
  <si>
    <t>Conductivity (S/m):</t>
  </si>
  <si>
    <t>Salinity (psu):</t>
  </si>
  <si>
    <t>Density (g/L°C):</t>
  </si>
  <si>
    <t>Pie Weight Locations</t>
  </si>
  <si>
    <t>H-Moment (mm):</t>
  </si>
  <si>
    <t>Weight (g)</t>
  </si>
  <si>
    <t>Ballasting Technician:</t>
  </si>
  <si>
    <t>Weight Bar</t>
  </si>
  <si>
    <t>Reference Ballasting Procedure 4095-GBP</t>
  </si>
  <si>
    <t>5- Measure the angle of roll that the glider undergoes due to the addition of weight. For this step you can use an inclinometer (less accurate) or have the glider on and measure compass roll before and after weight addition and measure angle difference.</t>
  </si>
  <si>
    <t>6- Remove the added weight, measure weight, and multiply by 0.912 if using Lead weight or by 0.875 if the weight used is stainless steel. This factor accounts for buoyancy provided by water on material.</t>
  </si>
  <si>
    <t>Battery Type:</t>
  </si>
  <si>
    <t>Battery Types</t>
  </si>
  <si>
    <t>Alkaline</t>
  </si>
  <si>
    <t>Lithium</t>
  </si>
  <si>
    <t>Aft Configuration</t>
  </si>
  <si>
    <t>Pitch Configuration</t>
  </si>
  <si>
    <t>Nose Configuration</t>
  </si>
  <si>
    <t>Radius of Hull + 
Distance to Weight</t>
  </si>
  <si>
    <t>Total range of 
Pitch Battery (+/- in)</t>
  </si>
  <si>
    <t>Sign:</t>
  </si>
  <si>
    <t>Aft Configurations</t>
  </si>
  <si>
    <t>Nose Configurations</t>
  </si>
  <si>
    <t>9 pack aft</t>
  </si>
  <si>
    <t>10 pack aft</t>
  </si>
  <si>
    <t>11 pack aft</t>
  </si>
  <si>
    <t>12 pack aft</t>
  </si>
  <si>
    <t>0 pack nose</t>
  </si>
  <si>
    <t>1 pack nose</t>
  </si>
  <si>
    <t>2 pack nose</t>
  </si>
  <si>
    <t>Drive Weight Type</t>
  </si>
  <si>
    <t>Stainless Steel</t>
  </si>
  <si>
    <t>Lead</t>
  </si>
  <si>
    <t>Drive Weight Material</t>
  </si>
  <si>
    <t>4095-GBPSH</t>
  </si>
  <si>
    <t>Document #:</t>
  </si>
  <si>
    <t>Rev:</t>
  </si>
  <si>
    <t>ECO #:</t>
  </si>
  <si>
    <t>Calculating H-moment (Roll Method)</t>
  </si>
  <si>
    <t>Calculating H-moment (Pitch Battery method)</t>
  </si>
  <si>
    <t>weight (kg)</t>
  </si>
  <si>
    <t xml:space="preserve"> </t>
  </si>
  <si>
    <t>DVL fwd plates</t>
  </si>
  <si>
    <t>Sci fwd disc(unused)</t>
  </si>
  <si>
    <t>Sci aft disc(unused)</t>
  </si>
  <si>
    <t>N/A</t>
  </si>
  <si>
    <t>G2 Shallow (&lt;=200m)</t>
  </si>
  <si>
    <t>DVL Bay (5.75")</t>
  </si>
  <si>
    <t>Glider Displacements (L)</t>
  </si>
  <si>
    <t>MARK III aft end cap</t>
  </si>
  <si>
    <t>Add-ons 
(check box for each)</t>
  </si>
  <si>
    <t>Mark III Aft End Cap</t>
  </si>
  <si>
    <t>Energy Bay fwd plates</t>
  </si>
  <si>
    <t>Center (unused)</t>
  </si>
  <si>
    <t xml:space="preserve">This tab is to be used for gliders configured as shown in the above diagram </t>
  </si>
  <si>
    <t>1- Fill in all fields that are shaded in blue</t>
  </si>
  <si>
    <t>2- Adjust weight by amount in yellow box to go from neutrally buoyant in tank to neutrally buoyant in target water</t>
  </si>
  <si>
    <t>3- If you want to change anything, the password to unprotect the sheet is "glider"</t>
  </si>
  <si>
    <t>Pinger Channel:</t>
  </si>
  <si>
    <t>Pond Wings:</t>
  </si>
  <si>
    <t>2- Record readings on scales in cells C18 and C19. If glider is light, temporarily add  an external known weight to the centerpoint of the glider. If weight is temporarily added, enter the removal of the weight as an adjustment in cell C52. (If the weight in water of the weight is 500g, removing this weight will be a -500g adjustment, so enter  -500 in cell C52)</t>
  </si>
  <si>
    <t>3- Looking at cell B59, the necessary weight adjustment to the glider, decide which positions you will be able to add/remove weight from, and enter weight adjustments in cells C48-C55 until no more weight needs to be added or subtracted.  Use judgment to determine where to add/subtract weight from.  If the front of the glider is heavy, you want to remove weight from the front of the glider.</t>
  </si>
  <si>
    <t>4- Only after cell B59 reads zero (no more weight adjustments are needed), determine the exact distribution of weight by putting a "1" in each cell, A48-A55, where the corresponding position in cell B48-B55 is available.  For example, if weight needs to be moved forward but the forward bottles are full, enter a "0".  If they have room to add weight, enter a "1".</t>
  </si>
  <si>
    <t>5- In doing the weight adjustment calculation, the spreadsheet will select the furthest forward and furthest aft positions that are "available" (as indicated in column A), and calculate how much weight needs to be moved between these two positions, which can be seen in cell B60.  If the value shown is greater than the amount that can physically be moved, that's okay, change the weight adjustment cells to reflect the amount of weight you can actually move, and change the 1 to a 0 to reflect that the spot is no longer available.  For example, if the spreadsheet tells you to move 1500g from sci fwd to sci aft, but you only have 500g in sci fwd, reduce the sci fwd weight adjustment by 500g, increase the sci aft weight adjustment by 500g, and change the 1 to a 0 in the cell corresponding to sci fwd availibility.</t>
  </si>
  <si>
    <t>6- Repeat step 5 until no more weight needs to move within the glider (cell B60 will be zero).  As you repeat step 5 and change the weight adjustment numbers, you need to ensure that the TOTAL weight adjustment remains at the appropriate value.</t>
  </si>
  <si>
    <t>length of bay (inches)</t>
  </si>
  <si>
    <t>2nd sci bay (G1 deep &amp; G2)</t>
  </si>
  <si>
    <t>1st sci bay (G1 deep &amp; G2)</t>
  </si>
  <si>
    <t xml:space="preserve">  1st           2nd</t>
  </si>
  <si>
    <t>G2 sci/energy bay</t>
  </si>
  <si>
    <t>1st sci bay (G1 shallow)</t>
  </si>
  <si>
    <t>2nd sci bay (G1 shallow)</t>
  </si>
  <si>
    <t>G1 Shallow Science Bay</t>
  </si>
  <si>
    <t>G1 Deep/G2 Science Bay</t>
  </si>
  <si>
    <t>Science/Energy Bay Configuration</t>
  </si>
  <si>
    <t>Sci bay fwd plates</t>
  </si>
  <si>
    <t>Science FWD</t>
  </si>
  <si>
    <t>Science AFT</t>
  </si>
  <si>
    <t>Extended Sci/Energy Bay Configurations</t>
  </si>
  <si>
    <t>Secondary Lithium
Pitch Pack</t>
  </si>
  <si>
    <t>Lithium Aft Pack</t>
  </si>
  <si>
    <t>Lithium Emergency Pack</t>
  </si>
  <si>
    <t>G2 Extended Science/ Energy Bay (14.85")</t>
  </si>
  <si>
    <t>Pie weights can be removed or shifted around to indicate exact location. The quantity can also be changed to represent stacked pie weights.</t>
  </si>
  <si>
    <t>Wing Rail Weight Locations</t>
  </si>
  <si>
    <t>Shade in the location of wing rail weights.</t>
  </si>
  <si>
    <t>F</t>
  </si>
  <si>
    <t>Rockland Scientific Microrider</t>
  </si>
  <si>
    <t>SUNA Nitrate Sensor</t>
  </si>
  <si>
    <t>ES Shallow (100m)</t>
  </si>
  <si>
    <t>ES Science/Energy Bay (15.75")</t>
  </si>
  <si>
    <t>Revision History</t>
  </si>
  <si>
    <t>REV</t>
  </si>
  <si>
    <t>DESCRIPTION OF CHANGE</t>
  </si>
  <si>
    <t>ECO #</t>
  </si>
  <si>
    <t>DATE</t>
  </si>
  <si>
    <t>Additional Bay FWD</t>
  </si>
  <si>
    <t>Note: This spreadsheet consists of 3 tabs. Complete "Ballast", "Worksheet", and the tab relevant to your particular glider.</t>
  </si>
  <si>
    <t>Configure 2 Drive Weights, Each Weighing (g)</t>
  </si>
  <si>
    <t>Insert Glider-specific Volume Adjustment Here</t>
  </si>
  <si>
    <t>2nd dvl/echosounder/optics bay</t>
  </si>
  <si>
    <t>1st dvl/echosounder/optics bay</t>
  </si>
  <si>
    <t>Pond Wings</t>
  </si>
  <si>
    <t>A</t>
  </si>
  <si>
    <t>B</t>
  </si>
  <si>
    <t>C</t>
  </si>
  <si>
    <t>D</t>
  </si>
  <si>
    <t>Pond Wing Displacements (L)</t>
  </si>
  <si>
    <t>Pinger</t>
  </si>
  <si>
    <t>Pinger Displacement (L)</t>
  </si>
  <si>
    <t>Channel 1</t>
  </si>
  <si>
    <t>Channel 2</t>
  </si>
  <si>
    <t>Channel 3</t>
  </si>
  <si>
    <t>Channel 4</t>
  </si>
  <si>
    <t>FAA-style</t>
  </si>
  <si>
    <t>Extended sci/energy bay</t>
  </si>
  <si>
    <t>Added microrider, SUNA, pond wing, pinger channel, and customizable volumes, edited for clarity, corrected weight position errors in glider tabs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</si>
</sst>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d\-mmm\-yyyy"/>
    <numFmt numFmtId="166" formatCode="0.0"/>
    <numFmt numFmtId="167" formatCode="0.000"/>
    <numFmt numFmtId="168" formatCode="mm/dd/yy;@"/>
  </numFmts>
  <fonts count="26" x14ac:knownFonts="1">
    <font>
      <sz val="10"/>
      <name val="Arial"/>
    </font>
    <font>
      <sz val="10"/>
      <name val="Arial"/>
      <family val="2"/>
    </font>
    <font>
      <b/>
      <sz val="10"/>
      <name val="Arial"/>
      <family val="2"/>
    </font>
    <font>
      <vertAlign val="superscript"/>
      <sz val="10"/>
      <name val="Arial"/>
      <family val="2"/>
    </font>
    <font>
      <sz val="10"/>
      <name val="Arial"/>
      <family val="2"/>
    </font>
    <font>
      <b/>
      <sz val="12"/>
      <name val="Arial"/>
      <family val="2"/>
    </font>
    <font>
      <i/>
      <sz val="8"/>
      <name val="Arial"/>
      <family val="2"/>
    </font>
    <font>
      <sz val="10"/>
      <color indexed="10"/>
      <name val="Arial"/>
      <family val="2"/>
    </font>
    <font>
      <sz val="8"/>
      <name val="Arial"/>
      <family val="2"/>
    </font>
    <font>
      <b/>
      <sz val="10"/>
      <color indexed="10"/>
      <name val="Arial"/>
      <family val="2"/>
    </font>
    <font>
      <b/>
      <sz val="12"/>
      <color indexed="10"/>
      <name val="Arial"/>
      <family val="2"/>
    </font>
    <font>
      <sz val="12"/>
      <name val="Arial"/>
      <family val="2"/>
    </font>
    <font>
      <b/>
      <sz val="14"/>
      <name val="Times New Roman"/>
      <family val="1"/>
    </font>
    <font>
      <sz val="11"/>
      <name val="Calibri"/>
      <family val="2"/>
    </font>
    <font>
      <sz val="12"/>
      <name val="Times New Roman"/>
      <family val="1"/>
    </font>
    <font>
      <sz val="10"/>
      <name val="Times New Roman"/>
      <family val="1"/>
    </font>
    <font>
      <b/>
      <sz val="16"/>
      <name val="Times New Roman"/>
      <family val="1"/>
    </font>
    <font>
      <sz val="11"/>
      <name val="Times New Roman"/>
      <family val="1"/>
    </font>
    <font>
      <b/>
      <sz val="11"/>
      <name val="Times New Roman"/>
      <family val="1"/>
    </font>
    <font>
      <sz val="9"/>
      <name val="Times New Roman"/>
      <family val="1"/>
    </font>
    <font>
      <sz val="9"/>
      <name val="Arial"/>
      <family val="2"/>
    </font>
    <font>
      <sz val="11"/>
      <name val="Arial"/>
      <family val="2"/>
    </font>
    <font>
      <b/>
      <sz val="14"/>
      <name val="Arial"/>
      <family val="2"/>
    </font>
    <font>
      <b/>
      <sz val="11"/>
      <name val="Arial"/>
      <family val="2"/>
    </font>
    <font>
      <b/>
      <sz val="10"/>
      <name val="Times New Roman"/>
      <family val="1"/>
    </font>
    <font>
      <b/>
      <sz val="9"/>
      <name val="Times New Roman"/>
      <family val="1"/>
    </font>
  </fonts>
  <fills count="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rgb="FF99CCFF"/>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ck">
        <color auto="1"/>
      </top>
      <bottom/>
      <diagonal/>
    </border>
    <border>
      <left style="thin">
        <color indexed="64"/>
      </left>
      <right style="thin">
        <color indexed="64"/>
      </right>
      <top style="thin">
        <color indexed="64"/>
      </top>
      <bottom style="thick">
        <color indexed="64"/>
      </bottom>
      <diagonal/>
    </border>
    <border>
      <left/>
      <right/>
      <top/>
      <bottom style="thick">
        <color auto="1"/>
      </bottom>
      <diagonal/>
    </border>
    <border>
      <left style="thin">
        <color indexed="64"/>
      </left>
      <right style="thin">
        <color indexed="64"/>
      </right>
      <top style="thick">
        <color indexed="64"/>
      </top>
      <bottom style="thin">
        <color indexed="64"/>
      </bottom>
      <diagonal/>
    </border>
    <border>
      <left/>
      <right/>
      <top/>
      <bottom style="thick">
        <color theme="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ck">
        <color theme="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405">
    <xf numFmtId="0" fontId="0" fillId="0" borderId="0" xfId="0"/>
    <xf numFmtId="0" fontId="0" fillId="0" borderId="0" xfId="0" applyBorder="1" applyProtection="1">
      <protection hidden="1"/>
    </xf>
    <xf numFmtId="0" fontId="0" fillId="0" borderId="0" xfId="0" applyBorder="1" applyAlignment="1" applyProtection="1">
      <alignment vertical="top" wrapText="1"/>
      <protection hidden="1"/>
    </xf>
    <xf numFmtId="0" fontId="2" fillId="0" borderId="0" xfId="0" applyFont="1" applyBorder="1" applyProtection="1">
      <protection hidden="1"/>
    </xf>
    <xf numFmtId="0" fontId="0" fillId="0" borderId="0" xfId="0" applyProtection="1">
      <protection hidden="1"/>
    </xf>
    <xf numFmtId="0" fontId="8" fillId="0" borderId="1" xfId="0" applyFont="1" applyFill="1" applyBorder="1" applyProtection="1">
      <protection hidden="1"/>
    </xf>
    <xf numFmtId="0" fontId="8" fillId="0" borderId="2" xfId="0" applyFont="1" applyFill="1" applyBorder="1" applyProtection="1">
      <protection hidden="1"/>
    </xf>
    <xf numFmtId="0" fontId="8" fillId="0" borderId="3" xfId="0" applyFont="1" applyBorder="1" applyProtection="1">
      <protection hidden="1"/>
    </xf>
    <xf numFmtId="0" fontId="0" fillId="0" borderId="0" xfId="0" applyAlignment="1" applyProtection="1">
      <alignment vertical="top" wrapText="1"/>
      <protection hidden="1"/>
    </xf>
    <xf numFmtId="0" fontId="2" fillId="0" borderId="0" xfId="0" applyFont="1" applyFill="1" applyBorder="1" applyProtection="1">
      <protection hidden="1"/>
    </xf>
    <xf numFmtId="0" fontId="0" fillId="0" borderId="0" xfId="0" applyFill="1" applyBorder="1" applyProtection="1">
      <protection hidden="1"/>
    </xf>
    <xf numFmtId="0" fontId="8" fillId="0" borderId="4" xfId="0" applyFont="1" applyFill="1" applyBorder="1" applyProtection="1">
      <protection hidden="1"/>
    </xf>
    <xf numFmtId="0" fontId="8" fillId="0" borderId="0" xfId="0" applyFont="1" applyBorder="1" applyProtection="1">
      <protection hidden="1"/>
    </xf>
    <xf numFmtId="0" fontId="8" fillId="0" borderId="5" xfId="0" applyFont="1" applyBorder="1" applyProtection="1">
      <protection hidden="1"/>
    </xf>
    <xf numFmtId="0" fontId="8" fillId="0" borderId="4" xfId="0" applyFont="1" applyFill="1" applyBorder="1" applyAlignment="1" applyProtection="1">
      <alignment textRotation="69"/>
      <protection hidden="1"/>
    </xf>
    <xf numFmtId="0" fontId="8" fillId="0" borderId="5" xfId="0" applyFont="1" applyFill="1" applyBorder="1" applyAlignment="1" applyProtection="1">
      <alignment textRotation="69"/>
      <protection hidden="1"/>
    </xf>
    <xf numFmtId="0" fontId="0" fillId="0" borderId="0" xfId="0" applyFill="1" applyBorder="1" applyAlignment="1" applyProtection="1">
      <alignment textRotation="69"/>
      <protection hidden="1"/>
    </xf>
    <xf numFmtId="0" fontId="0" fillId="0" borderId="0" xfId="0" applyFill="1" applyBorder="1" applyAlignment="1" applyProtection="1">
      <alignment vertical="top" textRotation="69" wrapText="1"/>
      <protection hidden="1"/>
    </xf>
    <xf numFmtId="166" fontId="8" fillId="0" borderId="5" xfId="0" applyNumberFormat="1" applyFont="1" applyFill="1" applyBorder="1" applyProtection="1">
      <protection hidden="1"/>
    </xf>
    <xf numFmtId="166" fontId="0" fillId="0" borderId="0" xfId="0" applyNumberFormat="1" applyFill="1" applyBorder="1" applyProtection="1">
      <protection hidden="1"/>
    </xf>
    <xf numFmtId="166" fontId="0" fillId="0" borderId="0" xfId="0" applyNumberFormat="1" applyFill="1" applyBorder="1" applyAlignment="1" applyProtection="1">
      <alignment vertical="top" wrapText="1"/>
      <protection hidden="1"/>
    </xf>
    <xf numFmtId="0" fontId="8" fillId="0" borderId="6" xfId="0" applyFont="1" applyFill="1" applyBorder="1" applyProtection="1">
      <protection hidden="1"/>
    </xf>
    <xf numFmtId="0" fontId="8" fillId="0" borderId="7" xfId="0" applyFont="1" applyBorder="1" applyProtection="1">
      <protection hidden="1"/>
    </xf>
    <xf numFmtId="166" fontId="8" fillId="0" borderId="8" xfId="0" applyNumberFormat="1" applyFont="1" applyFill="1" applyBorder="1" applyProtection="1">
      <protection hidden="1"/>
    </xf>
    <xf numFmtId="166" fontId="5" fillId="0" borderId="0" xfId="0" applyNumberFormat="1" applyFont="1" applyFill="1" applyBorder="1" applyProtection="1">
      <protection hidden="1"/>
    </xf>
    <xf numFmtId="0" fontId="0" fillId="0" borderId="0" xfId="0" applyProtection="1"/>
    <xf numFmtId="0" fontId="2" fillId="0" borderId="0" xfId="0" applyFont="1" applyProtection="1"/>
    <xf numFmtId="0" fontId="0" fillId="0" borderId="0" xfId="0" applyAlignment="1" applyProtection="1">
      <alignment horizontal="center"/>
    </xf>
    <xf numFmtId="0" fontId="0" fillId="0" borderId="0" xfId="0" applyFill="1" applyBorder="1" applyProtection="1"/>
    <xf numFmtId="0" fontId="0" fillId="0" borderId="0" xfId="0" applyBorder="1" applyProtection="1"/>
    <xf numFmtId="0" fontId="2" fillId="0" borderId="0" xfId="0" applyFont="1" applyAlignment="1" applyProtection="1">
      <alignment horizontal="center"/>
    </xf>
    <xf numFmtId="0" fontId="2" fillId="0" borderId="0" xfId="0" applyFont="1" applyBorder="1" applyProtection="1"/>
    <xf numFmtId="0" fontId="4" fillId="0" borderId="0" xfId="0" applyFont="1" applyProtection="1"/>
    <xf numFmtId="0" fontId="0" fillId="0" borderId="0" xfId="0" applyAlignment="1" applyProtection="1">
      <alignment vertical="top" wrapText="1"/>
    </xf>
    <xf numFmtId="14" fontId="6" fillId="0" borderId="0" xfId="0" applyNumberFormat="1" applyFont="1" applyProtection="1"/>
    <xf numFmtId="14" fontId="2" fillId="0" borderId="1" xfId="0" applyNumberFormat="1" applyFont="1" applyBorder="1" applyProtection="1"/>
    <xf numFmtId="0" fontId="0" fillId="0" borderId="2" xfId="0" applyBorder="1" applyProtection="1"/>
    <xf numFmtId="0" fontId="0" fillId="0" borderId="3" xfId="0" applyBorder="1" applyProtection="1"/>
    <xf numFmtId="0" fontId="0" fillId="0" borderId="11" xfId="0" applyBorder="1" applyProtection="1"/>
    <xf numFmtId="0" fontId="0" fillId="0" borderId="12" xfId="0" applyBorder="1" applyAlignment="1" applyProtection="1">
      <alignment horizontal="right"/>
    </xf>
    <xf numFmtId="0" fontId="0" fillId="0" borderId="5" xfId="0" applyBorder="1" applyProtection="1"/>
    <xf numFmtId="0" fontId="0" fillId="0" borderId="4" xfId="0" applyBorder="1" applyProtection="1"/>
    <xf numFmtId="0" fontId="0" fillId="0" borderId="13" xfId="0" applyBorder="1" applyAlignment="1" applyProtection="1">
      <alignment horizontal="right"/>
    </xf>
    <xf numFmtId="0" fontId="0" fillId="0" borderId="14" xfId="0" applyBorder="1" applyProtection="1"/>
    <xf numFmtId="0" fontId="2" fillId="0" borderId="15" xfId="0" applyFont="1" applyBorder="1" applyAlignment="1" applyProtection="1">
      <alignment horizontal="right"/>
    </xf>
    <xf numFmtId="0" fontId="2" fillId="0" borderId="5" xfId="0" applyFont="1" applyBorder="1" applyProtection="1"/>
    <xf numFmtId="166" fontId="0" fillId="0" borderId="0" xfId="0" applyNumberFormat="1" applyBorder="1" applyProtection="1"/>
    <xf numFmtId="0" fontId="0" fillId="0" borderId="16" xfId="0" applyFill="1" applyBorder="1" applyAlignment="1" applyProtection="1">
      <alignment horizontal="center"/>
    </xf>
    <xf numFmtId="166" fontId="0" fillId="0" borderId="16" xfId="0" applyNumberFormat="1" applyBorder="1" applyAlignment="1" applyProtection="1">
      <alignment horizontal="center"/>
    </xf>
    <xf numFmtId="0" fontId="0" fillId="0" borderId="17" xfId="0" applyBorder="1" applyAlignment="1" applyProtection="1">
      <alignment horizontal="center"/>
    </xf>
    <xf numFmtId="0" fontId="0" fillId="0" borderId="9" xfId="0" applyBorder="1" applyProtection="1"/>
    <xf numFmtId="0" fontId="0" fillId="0" borderId="6" xfId="0" applyBorder="1" applyProtection="1"/>
    <xf numFmtId="0" fontId="2" fillId="0" borderId="7" xfId="0" applyFont="1" applyBorder="1" applyAlignment="1" applyProtection="1">
      <alignment horizontal="right"/>
    </xf>
    <xf numFmtId="0" fontId="2" fillId="0" borderId="8" xfId="0" applyFont="1" applyBorder="1" applyProtection="1"/>
    <xf numFmtId="0" fontId="0" fillId="0" borderId="0" xfId="0" applyBorder="1" applyAlignment="1" applyProtection="1">
      <alignment vertical="top" wrapText="1"/>
    </xf>
    <xf numFmtId="0" fontId="2" fillId="0" borderId="1" xfId="0" applyFont="1" applyBorder="1" applyProtection="1"/>
    <xf numFmtId="0" fontId="0" fillId="0" borderId="9" xfId="0" applyBorder="1" applyAlignment="1" applyProtection="1">
      <alignment horizontal="right"/>
    </xf>
    <xf numFmtId="0" fontId="0" fillId="0" borderId="18" xfId="0" applyBorder="1" applyProtection="1"/>
    <xf numFmtId="0" fontId="0" fillId="0" borderId="19" xfId="0" applyBorder="1" applyProtection="1"/>
    <xf numFmtId="0" fontId="0" fillId="0" borderId="8" xfId="0" applyBorder="1" applyProtection="1"/>
    <xf numFmtId="0" fontId="0" fillId="0" borderId="19" xfId="0" applyFill="1" applyBorder="1" applyProtection="1"/>
    <xf numFmtId="0" fontId="0" fillId="0" borderId="7" xfId="0" applyFill="1" applyBorder="1" applyProtection="1"/>
    <xf numFmtId="0" fontId="0" fillId="0" borderId="21" xfId="0" applyBorder="1" applyProtection="1"/>
    <xf numFmtId="166" fontId="2" fillId="0" borderId="0" xfId="0" applyNumberFormat="1" applyFont="1" applyAlignment="1" applyProtection="1">
      <alignment vertical="top" wrapText="1"/>
    </xf>
    <xf numFmtId="166" fontId="2" fillId="0" borderId="0" xfId="0" applyNumberFormat="1" applyFont="1" applyBorder="1" applyProtection="1"/>
    <xf numFmtId="166" fontId="0" fillId="0" borderId="0" xfId="0" applyNumberFormat="1" applyProtection="1"/>
    <xf numFmtId="0" fontId="0" fillId="0" borderId="0" xfId="0" applyBorder="1" applyAlignment="1" applyProtection="1">
      <alignment horizontal="left"/>
    </xf>
    <xf numFmtId="166" fontId="0" fillId="0" borderId="7" xfId="0" applyNumberFormat="1" applyBorder="1" applyProtection="1"/>
    <xf numFmtId="0" fontId="0" fillId="0" borderId="7" xfId="0" applyBorder="1" applyAlignment="1" applyProtection="1">
      <alignment horizontal="left"/>
    </xf>
    <xf numFmtId="0" fontId="0" fillId="0" borderId="0" xfId="0" applyFill="1" applyBorder="1" applyAlignment="1" applyProtection="1">
      <alignment vertical="top" wrapText="1"/>
    </xf>
    <xf numFmtId="0" fontId="0" fillId="0" borderId="0" xfId="0" applyAlignment="1" applyProtection="1">
      <alignment vertical="top" wrapText="1" shrinkToFit="1"/>
    </xf>
    <xf numFmtId="0" fontId="0" fillId="0" borderId="0" xfId="0" applyAlignment="1" applyProtection="1">
      <alignment wrapText="1" shrinkToFit="1"/>
    </xf>
    <xf numFmtId="0" fontId="2" fillId="0" borderId="0" xfId="0" applyFont="1" applyFill="1" applyBorder="1" applyAlignment="1" applyProtection="1">
      <alignment wrapText="1" shrinkToFit="1"/>
    </xf>
    <xf numFmtId="0" fontId="0" fillId="0" borderId="0" xfId="0" applyFill="1" applyBorder="1" applyAlignment="1" applyProtection="1">
      <alignment vertical="top" wrapText="1" shrinkToFit="1"/>
    </xf>
    <xf numFmtId="0" fontId="0" fillId="0" borderId="0" xfId="0" applyFill="1" applyBorder="1" applyAlignment="1" applyProtection="1">
      <alignment wrapText="1" shrinkToFit="1"/>
    </xf>
    <xf numFmtId="0" fontId="0" fillId="0" borderId="0" xfId="0" applyBorder="1" applyAlignment="1" applyProtection="1">
      <alignment wrapText="1" shrinkToFit="1"/>
    </xf>
    <xf numFmtId="0" fontId="0" fillId="0" borderId="0" xfId="0" applyBorder="1" applyAlignment="1" applyProtection="1">
      <alignment horizontal="right"/>
    </xf>
    <xf numFmtId="166" fontId="0" fillId="2" borderId="9" xfId="0" applyNumberFormat="1" applyFill="1" applyBorder="1" applyProtection="1">
      <protection locked="0"/>
    </xf>
    <xf numFmtId="164" fontId="4" fillId="2" borderId="9" xfId="0" applyNumberFormat="1" applyFont="1" applyFill="1" applyBorder="1" applyProtection="1">
      <protection locked="0"/>
    </xf>
    <xf numFmtId="164" fontId="7" fillId="0" borderId="9" xfId="0" applyNumberFormat="1" applyFont="1" applyBorder="1" applyAlignment="1" applyProtection="1">
      <alignment horizontal="right"/>
      <protection locked="0"/>
    </xf>
    <xf numFmtId="164" fontId="7" fillId="0" borderId="10" xfId="0" applyNumberFormat="1" applyFont="1" applyBorder="1" applyProtection="1">
      <protection locked="0"/>
    </xf>
    <xf numFmtId="164" fontId="7" fillId="0" borderId="9" xfId="0" applyNumberFormat="1" applyFont="1" applyBorder="1" applyProtection="1">
      <protection locked="0"/>
    </xf>
    <xf numFmtId="164" fontId="7" fillId="4" borderId="9" xfId="0" applyNumberFormat="1" applyFont="1" applyFill="1" applyBorder="1" applyProtection="1">
      <protection locked="0"/>
    </xf>
    <xf numFmtId="164" fontId="7" fillId="0" borderId="20" xfId="0" applyNumberFormat="1" applyFont="1" applyBorder="1" applyProtection="1">
      <protection locked="0"/>
    </xf>
    <xf numFmtId="0" fontId="0" fillId="2" borderId="18" xfId="0" applyFill="1" applyBorder="1" applyProtection="1">
      <protection locked="0"/>
    </xf>
    <xf numFmtId="0" fontId="0" fillId="2" borderId="21" xfId="0" applyFill="1" applyBorder="1" applyProtection="1">
      <protection locked="0"/>
    </xf>
    <xf numFmtId="0" fontId="0" fillId="2" borderId="19" xfId="0" applyFill="1" applyBorder="1" applyProtection="1">
      <protection locked="0"/>
    </xf>
    <xf numFmtId="0" fontId="9" fillId="0" borderId="0" xfId="0" applyFont="1" applyAlignment="1" applyProtection="1">
      <alignment horizontal="left"/>
    </xf>
    <xf numFmtId="0" fontId="10" fillId="0" borderId="0" xfId="0" applyFont="1" applyFill="1" applyBorder="1" applyAlignment="1" applyProtection="1">
      <alignment horizontal="left"/>
    </xf>
    <xf numFmtId="0" fontId="9" fillId="0" borderId="0" xfId="0" applyFont="1" applyFill="1" applyBorder="1" applyProtection="1"/>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15" xfId="0" applyBorder="1" applyProtection="1">
      <protection locked="0"/>
    </xf>
    <xf numFmtId="0" fontId="9" fillId="0" borderId="0" xfId="0" applyFont="1" applyAlignment="1" applyProtection="1">
      <alignment vertical="top" wrapText="1"/>
    </xf>
    <xf numFmtId="0" fontId="0" fillId="0" borderId="0" xfId="0" applyAlignment="1" applyProtection="1"/>
    <xf numFmtId="0" fontId="0" fillId="0" borderId="0" xfId="0" applyAlignment="1" applyProtection="1">
      <alignment vertical="center"/>
    </xf>
    <xf numFmtId="0" fontId="0" fillId="0" borderId="0" xfId="0" applyAlignment="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26" xfId="0" applyFont="1" applyFill="1" applyBorder="1" applyAlignment="1" applyProtection="1">
      <alignment horizontal="center" vertical="center"/>
    </xf>
    <xf numFmtId="0" fontId="0" fillId="0" borderId="10" xfId="0" applyBorder="1" applyAlignment="1" applyProtection="1">
      <alignment vertical="center"/>
      <protection locked="0"/>
    </xf>
    <xf numFmtId="0" fontId="4" fillId="0" borderId="9" xfId="0" applyFont="1" applyBorder="1" applyAlignment="1" applyProtection="1">
      <alignment vertical="center"/>
      <protection locked="0"/>
    </xf>
    <xf numFmtId="0" fontId="2" fillId="0" borderId="0" xfId="0" applyFont="1" applyAlignment="1">
      <alignment vertical="center"/>
    </xf>
    <xf numFmtId="0" fontId="18" fillId="0" borderId="0" xfId="0" applyFont="1" applyAlignment="1">
      <alignment horizontal="center" vertical="center" wrapText="1"/>
    </xf>
    <xf numFmtId="0" fontId="17" fillId="0" borderId="0" xfId="0" applyFont="1" applyAlignment="1">
      <alignment horizontal="center" vertical="center" wrapText="1"/>
    </xf>
    <xf numFmtId="0" fontId="14" fillId="0" borderId="0" xfId="0" applyFont="1" applyAlignment="1">
      <alignment vertical="center"/>
    </xf>
    <xf numFmtId="0" fontId="12" fillId="0" borderId="0" xfId="0" applyFont="1" applyAlignment="1">
      <alignment vertical="center"/>
    </xf>
    <xf numFmtId="0" fontId="14" fillId="0" borderId="0" xfId="0" applyFont="1" applyAlignment="1">
      <alignment vertical="center" wrapText="1"/>
    </xf>
    <xf numFmtId="0" fontId="13" fillId="0" borderId="0" xfId="0" applyFont="1" applyAlignment="1">
      <alignment vertical="center" wrapText="1"/>
    </xf>
    <xf numFmtId="0" fontId="0" fillId="0" borderId="0" xfId="0" applyAlignment="1">
      <alignment horizontal="left" vertical="center"/>
    </xf>
    <xf numFmtId="167" fontId="0" fillId="0" borderId="10" xfId="0" applyNumberFormat="1" applyBorder="1" applyAlignment="1" applyProtection="1">
      <alignment horizontal="center" vertical="center"/>
    </xf>
    <xf numFmtId="167" fontId="0" fillId="0" borderId="9" xfId="0" applyNumberFormat="1"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0" fillId="0" borderId="0" xfId="0" applyAlignment="1" applyProtection="1">
      <alignment horizontal="center" vertical="center"/>
    </xf>
    <xf numFmtId="49" fontId="1" fillId="2" borderId="9" xfId="0" applyNumberFormat="1" applyFont="1" applyFill="1" applyBorder="1" applyAlignment="1" applyProtection="1">
      <alignment horizontal="center" vertical="center"/>
      <protection locked="0"/>
    </xf>
    <xf numFmtId="0" fontId="2" fillId="0" borderId="0" xfId="0" applyFont="1" applyAlignment="1" applyProtection="1">
      <alignment vertical="center"/>
    </xf>
    <xf numFmtId="0" fontId="2" fillId="0" borderId="0" xfId="0" applyFont="1" applyFill="1" applyBorder="1" applyAlignment="1" applyProtection="1">
      <alignment vertical="center"/>
    </xf>
    <xf numFmtId="0" fontId="2" fillId="0" borderId="0" xfId="0" applyFont="1" applyAlignment="1" applyProtection="1">
      <alignment horizontal="center" vertical="center"/>
    </xf>
    <xf numFmtId="164" fontId="0" fillId="2" borderId="9" xfId="0" applyNumberFormat="1" applyFill="1" applyBorder="1" applyAlignment="1" applyProtection="1">
      <alignment horizontal="right" vertical="center"/>
      <protection locked="0"/>
    </xf>
    <xf numFmtId="0" fontId="3" fillId="0" borderId="0" xfId="0" applyFont="1" applyBorder="1" applyAlignment="1" applyProtection="1">
      <alignment vertical="center"/>
    </xf>
    <xf numFmtId="0" fontId="3" fillId="0" borderId="0" xfId="0" applyFont="1" applyAlignment="1" applyProtection="1">
      <alignment vertical="center"/>
    </xf>
    <xf numFmtId="164" fontId="0" fillId="0" borderId="0" xfId="0" applyNumberFormat="1" applyAlignment="1" applyProtection="1">
      <alignment horizontal="right" vertical="center"/>
    </xf>
    <xf numFmtId="0" fontId="4" fillId="0" borderId="0" xfId="0" applyFont="1" applyAlignment="1" applyProtection="1">
      <alignment vertical="center"/>
    </xf>
    <xf numFmtId="164" fontId="4" fillId="2" borderId="9" xfId="0" applyNumberFormat="1" applyFont="1" applyFill="1" applyBorder="1" applyAlignment="1" applyProtection="1">
      <alignment horizontal="right" vertical="center"/>
      <protection locked="0"/>
    </xf>
    <xf numFmtId="0" fontId="4" fillId="0" borderId="0" xfId="0" applyFont="1" applyBorder="1" applyAlignment="1" applyProtection="1">
      <alignment vertical="center"/>
    </xf>
    <xf numFmtId="164" fontId="4" fillId="0" borderId="0" xfId="0" applyNumberFormat="1" applyFont="1" applyAlignment="1" applyProtection="1">
      <alignment horizontal="right" vertical="center"/>
    </xf>
    <xf numFmtId="164"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vertical="center"/>
    </xf>
    <xf numFmtId="0" fontId="4" fillId="0" borderId="0" xfId="0" applyFont="1" applyFill="1" applyAlignment="1" applyProtection="1">
      <alignment vertical="center"/>
    </xf>
    <xf numFmtId="164" fontId="0" fillId="3" borderId="9" xfId="0" applyNumberFormat="1" applyFill="1" applyBorder="1" applyAlignment="1" applyProtection="1">
      <alignment horizontal="right" vertical="center"/>
    </xf>
    <xf numFmtId="164" fontId="0" fillId="0" borderId="9" xfId="0" applyNumberFormat="1" applyBorder="1" applyAlignment="1" applyProtection="1">
      <alignment horizontal="right" vertical="center"/>
    </xf>
    <xf numFmtId="164" fontId="0" fillId="4" borderId="9" xfId="0" applyNumberFormat="1" applyFill="1" applyBorder="1" applyAlignment="1" applyProtection="1">
      <alignment horizontal="right" vertical="center"/>
    </xf>
    <xf numFmtId="0" fontId="10" fillId="0" borderId="0" xfId="0" applyFont="1" applyAlignment="1" applyProtection="1">
      <alignment vertical="center"/>
    </xf>
    <xf numFmtId="164" fontId="0" fillId="2" borderId="10" xfId="0" applyNumberFormat="1" applyFill="1" applyBorder="1" applyAlignment="1" applyProtection="1">
      <alignment horizontal="right" vertical="center"/>
      <protection locked="0"/>
    </xf>
    <xf numFmtId="0" fontId="0" fillId="0" borderId="0" xfId="0" applyAlignment="1" applyProtection="1">
      <alignment horizontal="right" vertical="center"/>
      <protection locked="0"/>
    </xf>
    <xf numFmtId="0" fontId="11" fillId="0" borderId="0" xfId="0" applyFont="1" applyAlignment="1" applyProtection="1">
      <alignment vertical="center"/>
    </xf>
    <xf numFmtId="2" fontId="0" fillId="2" borderId="9" xfId="0" applyNumberFormat="1" applyFill="1" applyBorder="1" applyAlignment="1" applyProtection="1">
      <alignment horizontal="right" vertical="center"/>
      <protection locked="0"/>
    </xf>
    <xf numFmtId="2" fontId="0" fillId="3" borderId="9" xfId="0" applyNumberFormat="1" applyFill="1" applyBorder="1" applyAlignment="1" applyProtection="1">
      <alignment horizontal="right" vertical="center"/>
    </xf>
    <xf numFmtId="0" fontId="0" fillId="2" borderId="9" xfId="0" applyFill="1" applyBorder="1" applyAlignment="1" applyProtection="1">
      <alignment horizontal="right" vertical="center"/>
      <protection locked="0"/>
    </xf>
    <xf numFmtId="0" fontId="1" fillId="0" borderId="0" xfId="0" applyFont="1" applyFill="1" applyBorder="1" applyAlignment="1" applyProtection="1">
      <alignment horizontal="right" vertical="center"/>
    </xf>
    <xf numFmtId="2" fontId="0" fillId="3" borderId="0" xfId="0" applyNumberFormat="1" applyFill="1" applyBorder="1" applyAlignment="1" applyProtection="1">
      <alignment horizontal="right" vertical="center"/>
    </xf>
    <xf numFmtId="0" fontId="5" fillId="0" borderId="0" xfId="0" applyFont="1" applyFill="1" applyBorder="1" applyAlignment="1" applyProtection="1">
      <alignment vertical="center"/>
    </xf>
    <xf numFmtId="0" fontId="0" fillId="2" borderId="9" xfId="0" applyFill="1" applyBorder="1" applyAlignment="1" applyProtection="1">
      <alignment vertical="center"/>
      <protection locked="0"/>
    </xf>
    <xf numFmtId="0" fontId="0" fillId="0" borderId="0" xfId="0" applyBorder="1" applyAlignment="1">
      <alignment vertical="center"/>
    </xf>
    <xf numFmtId="0" fontId="0" fillId="0" borderId="0" xfId="0" applyBorder="1" applyAlignment="1" applyProtection="1">
      <alignment vertical="center"/>
      <protection locked="0"/>
    </xf>
    <xf numFmtId="0" fontId="2" fillId="0" borderId="0" xfId="0" applyFont="1" applyAlignment="1" applyProtection="1">
      <alignment horizontal="left" vertical="center"/>
    </xf>
    <xf numFmtId="0" fontId="2" fillId="0" borderId="16" xfId="0" applyFont="1" applyBorder="1" applyAlignment="1" applyProtection="1">
      <alignment horizontal="center" vertical="center"/>
    </xf>
    <xf numFmtId="0" fontId="1" fillId="0" borderId="28" xfId="0" applyFont="1" applyBorder="1" applyAlignment="1" applyProtection="1">
      <alignment vertical="center"/>
    </xf>
    <xf numFmtId="0" fontId="1" fillId="0" borderId="9" xfId="0" applyFont="1" applyBorder="1" applyAlignment="1" applyProtection="1">
      <alignment vertical="center"/>
    </xf>
    <xf numFmtId="0" fontId="1" fillId="0" borderId="0" xfId="0" applyFont="1" applyAlignment="1">
      <alignment vertical="center"/>
    </xf>
    <xf numFmtId="0" fontId="2" fillId="0" borderId="0" xfId="0" applyFont="1" applyFill="1" applyBorder="1" applyAlignment="1" applyProtection="1">
      <alignment horizontal="left" vertical="center"/>
    </xf>
    <xf numFmtId="0" fontId="0" fillId="0" borderId="0" xfId="0" applyAlignment="1" applyProtection="1">
      <alignment horizontal="left"/>
    </xf>
    <xf numFmtId="0" fontId="0" fillId="0" borderId="0" xfId="0" applyAlignment="1" applyProtection="1">
      <alignment horizontal="left" vertical="center"/>
    </xf>
    <xf numFmtId="0" fontId="1" fillId="0" borderId="9" xfId="0" quotePrefix="1" applyFont="1" applyBorder="1" applyAlignment="1" applyProtection="1">
      <alignment horizontal="center" vertical="center"/>
    </xf>
    <xf numFmtId="0" fontId="1" fillId="0" borderId="9" xfId="0" quotePrefix="1" applyFont="1" applyBorder="1" applyAlignment="1" applyProtection="1">
      <alignment vertical="center"/>
    </xf>
    <xf numFmtId="0" fontId="1" fillId="0" borderId="0" xfId="0" applyFont="1" applyBorder="1" applyAlignment="1">
      <alignment vertical="center" wrapText="1"/>
    </xf>
    <xf numFmtId="0" fontId="22"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2" fillId="0" borderId="30" xfId="0" applyFont="1" applyBorder="1" applyAlignment="1">
      <alignment horizontal="right" vertical="center" wrapText="1"/>
    </xf>
    <xf numFmtId="0" fontId="1" fillId="0" borderId="31" xfId="0" applyFont="1" applyBorder="1" applyAlignment="1">
      <alignment horizontal="right" vertical="center" wrapText="1"/>
    </xf>
    <xf numFmtId="0" fontId="2" fillId="0" borderId="23" xfId="0" applyFont="1" applyBorder="1" applyAlignment="1">
      <alignment horizontal="right" vertical="center" wrapText="1"/>
    </xf>
    <xf numFmtId="0" fontId="1" fillId="0" borderId="32" xfId="0" applyFont="1" applyBorder="1" applyAlignment="1">
      <alignment horizontal="right" vertical="center" wrapText="1"/>
    </xf>
    <xf numFmtId="14" fontId="1" fillId="0" borderId="32" xfId="0" applyNumberFormat="1" applyFont="1" applyBorder="1" applyAlignment="1">
      <alignment horizontal="right" vertical="center" wrapText="1"/>
    </xf>
    <xf numFmtId="0" fontId="2" fillId="0" borderId="24" xfId="0" applyFont="1" applyBorder="1" applyAlignment="1">
      <alignment horizontal="right" vertical="center" wrapText="1"/>
    </xf>
    <xf numFmtId="0" fontId="1" fillId="0" borderId="33" xfId="0" applyFont="1" applyBorder="1" applyAlignment="1">
      <alignment horizontal="right" vertical="center" wrapText="1"/>
    </xf>
    <xf numFmtId="0" fontId="0" fillId="0" borderId="29" xfId="0" applyBorder="1" applyAlignment="1">
      <alignment vertical="center"/>
    </xf>
    <xf numFmtId="0" fontId="0" fillId="0" borderId="18" xfId="0" applyBorder="1" applyAlignment="1" applyProtection="1">
      <alignment wrapText="1"/>
    </xf>
    <xf numFmtId="0" fontId="2" fillId="0" borderId="1" xfId="0" applyFont="1" applyBorder="1" applyAlignment="1" applyProtection="1">
      <alignment horizontal="right"/>
    </xf>
    <xf numFmtId="0" fontId="2" fillId="0" borderId="6" xfId="0" applyFont="1" applyBorder="1" applyAlignment="1" applyProtection="1">
      <alignment horizontal="right"/>
    </xf>
    <xf numFmtId="0" fontId="0" fillId="0" borderId="0" xfId="0" applyAlignment="1" applyProtection="1">
      <alignment vertical="center"/>
      <protection locked="0"/>
    </xf>
    <xf numFmtId="0" fontId="23" fillId="0" borderId="30" xfId="0" applyFont="1" applyBorder="1" applyAlignment="1" applyProtection="1">
      <alignment horizontal="right" vertical="center" wrapText="1"/>
    </xf>
    <xf numFmtId="0" fontId="21" fillId="0" borderId="31" xfId="0" applyFont="1" applyBorder="1" applyAlignment="1" applyProtection="1">
      <alignment horizontal="right" vertical="center" wrapText="1"/>
    </xf>
    <xf numFmtId="0" fontId="23" fillId="0" borderId="23" xfId="0" applyFont="1" applyBorder="1" applyAlignment="1" applyProtection="1">
      <alignment horizontal="right" vertical="center" wrapText="1"/>
    </xf>
    <xf numFmtId="0" fontId="21" fillId="0" borderId="32" xfId="0" applyFont="1" applyBorder="1" applyAlignment="1" applyProtection="1">
      <alignment horizontal="right" vertical="center" wrapText="1"/>
    </xf>
    <xf numFmtId="14" fontId="21" fillId="0" borderId="32" xfId="0" applyNumberFormat="1" applyFont="1" applyBorder="1" applyAlignment="1" applyProtection="1">
      <alignment horizontal="right" vertical="center" wrapText="1"/>
    </xf>
    <xf numFmtId="0" fontId="23" fillId="0" borderId="24" xfId="0" applyFont="1" applyBorder="1" applyAlignment="1" applyProtection="1">
      <alignment horizontal="right" vertical="center" wrapText="1"/>
    </xf>
    <xf numFmtId="0" fontId="21" fillId="0" borderId="33" xfId="0" applyFont="1" applyBorder="1" applyAlignment="1" applyProtection="1">
      <alignment horizontal="right" vertical="center" wrapText="1"/>
    </xf>
    <xf numFmtId="0" fontId="0" fillId="0" borderId="25" xfId="0" applyBorder="1" applyAlignment="1" applyProtection="1">
      <alignment vertical="center"/>
    </xf>
    <xf numFmtId="0" fontId="2" fillId="0" borderId="7" xfId="0" applyFont="1" applyBorder="1" applyAlignment="1" applyProtection="1">
      <alignment vertical="center"/>
      <protection locked="0"/>
    </xf>
    <xf numFmtId="0" fontId="2" fillId="0" borderId="7" xfId="0" applyFont="1" applyBorder="1" applyProtection="1">
      <protection locked="0"/>
    </xf>
    <xf numFmtId="0" fontId="0" fillId="0" borderId="25"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11" xfId="0" applyBorder="1" applyProtection="1">
      <protection locked="0"/>
    </xf>
    <xf numFmtId="0" fontId="0" fillId="0" borderId="5" xfId="0" applyBorder="1" applyProtection="1">
      <protection locked="0"/>
    </xf>
    <xf numFmtId="0" fontId="9" fillId="0" borderId="0" xfId="0" applyFont="1" applyProtection="1">
      <protection locked="0"/>
    </xf>
    <xf numFmtId="0" fontId="0" fillId="0" borderId="4" xfId="0" applyBorder="1" applyProtection="1">
      <protection locked="0"/>
    </xf>
    <xf numFmtId="166" fontId="0" fillId="0" borderId="9" xfId="0" applyNumberFormat="1" applyFill="1" applyBorder="1" applyProtection="1">
      <protection locked="0"/>
    </xf>
    <xf numFmtId="0" fontId="0" fillId="0" borderId="14" xfId="0" applyBorder="1" applyProtection="1">
      <protection locked="0"/>
    </xf>
    <xf numFmtId="166" fontId="2" fillId="0" borderId="9" xfId="0" applyNumberFormat="1" applyFont="1" applyBorder="1" applyProtection="1">
      <protection locked="0"/>
    </xf>
    <xf numFmtId="0" fontId="0" fillId="0" borderId="0" xfId="0" applyBorder="1" applyProtection="1">
      <protection locked="0"/>
    </xf>
    <xf numFmtId="166" fontId="0" fillId="0" borderId="0" xfId="0" applyNumberFormat="1" applyBorder="1" applyProtection="1">
      <protection locked="0"/>
    </xf>
    <xf numFmtId="164" fontId="0" fillId="0" borderId="9" xfId="0" applyNumberFormat="1" applyBorder="1" applyProtection="1">
      <protection locked="0"/>
    </xf>
    <xf numFmtId="0" fontId="0" fillId="0" borderId="0" xfId="0" applyFill="1" applyBorder="1" applyProtection="1">
      <protection locked="0"/>
    </xf>
    <xf numFmtId="0" fontId="0" fillId="0" borderId="6" xfId="0" applyBorder="1" applyProtection="1">
      <protection locked="0"/>
    </xf>
    <xf numFmtId="0" fontId="6" fillId="0" borderId="0" xfId="0" applyFont="1" applyBorder="1" applyProtection="1">
      <protection locked="0"/>
    </xf>
    <xf numFmtId="0" fontId="7" fillId="0" borderId="5" xfId="0" applyFont="1" applyBorder="1" applyProtection="1">
      <protection locked="0"/>
    </xf>
    <xf numFmtId="164" fontId="0" fillId="0" borderId="10" xfId="0" applyNumberFormat="1" applyBorder="1" applyProtection="1">
      <protection locked="0"/>
    </xf>
    <xf numFmtId="164" fontId="0" fillId="0" borderId="20" xfId="0" applyNumberFormat="1" applyBorder="1" applyProtection="1">
      <protection locked="0"/>
    </xf>
    <xf numFmtId="0" fontId="0" fillId="0" borderId="8" xfId="0" applyBorder="1" applyProtection="1">
      <protection locked="0"/>
    </xf>
    <xf numFmtId="1" fontId="0" fillId="0" borderId="21" xfId="0" applyNumberFormat="1" applyBorder="1" applyProtection="1">
      <protection locked="0"/>
    </xf>
    <xf numFmtId="1" fontId="0" fillId="0" borderId="19" xfId="0" applyNumberFormat="1" applyBorder="1" applyProtection="1">
      <protection locked="0"/>
    </xf>
    <xf numFmtId="0" fontId="0" fillId="0" borderId="7" xfId="0" applyBorder="1" applyProtection="1">
      <protection locked="0"/>
    </xf>
    <xf numFmtId="1" fontId="2" fillId="0" borderId="8" xfId="0" applyNumberFormat="1" applyFont="1" applyBorder="1" applyProtection="1">
      <protection locked="0"/>
    </xf>
    <xf numFmtId="0" fontId="0" fillId="0" borderId="0" xfId="0" applyBorder="1" applyAlignment="1" applyProtection="1">
      <alignment horizontal="left"/>
      <protection locked="0"/>
    </xf>
    <xf numFmtId="0" fontId="0" fillId="0" borderId="12" xfId="0" applyBorder="1" applyProtection="1"/>
    <xf numFmtId="0" fontId="0" fillId="0" borderId="15" xfId="0" applyBorder="1" applyProtection="1"/>
    <xf numFmtId="0" fontId="0" fillId="0" borderId="22" xfId="0" applyBorder="1" applyProtection="1"/>
    <xf numFmtId="0" fontId="0" fillId="0" borderId="23" xfId="0" applyBorder="1" applyProtection="1"/>
    <xf numFmtId="0" fontId="0" fillId="0" borderId="24" xfId="0" applyBorder="1" applyProtection="1"/>
    <xf numFmtId="0" fontId="0" fillId="0" borderId="25" xfId="0" applyBorder="1" applyProtection="1"/>
    <xf numFmtId="1" fontId="0" fillId="0" borderId="18" xfId="0" applyNumberFormat="1" applyBorder="1" applyProtection="1">
      <protection locked="0"/>
    </xf>
    <xf numFmtId="0" fontId="11" fillId="0" borderId="0" xfId="0" applyFont="1" applyAlignment="1" applyProtection="1">
      <alignment horizontal="center" vertical="center"/>
    </xf>
    <xf numFmtId="0" fontId="1" fillId="0" borderId="0" xfId="0" applyFont="1" applyProtection="1"/>
    <xf numFmtId="0" fontId="21" fillId="0" borderId="27" xfId="0" applyFont="1" applyBorder="1" applyAlignment="1" applyProtection="1">
      <alignment vertical="center"/>
    </xf>
    <xf numFmtId="165" fontId="0" fillId="2" borderId="9" xfId="0" applyNumberFormat="1" applyFill="1" applyBorder="1" applyAlignment="1" applyProtection="1">
      <alignment horizontal="center" vertical="center"/>
    </xf>
    <xf numFmtId="0" fontId="18"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 fillId="0" borderId="23" xfId="0" applyFont="1" applyBorder="1" applyProtection="1"/>
    <xf numFmtId="0" fontId="0" fillId="0" borderId="0" xfId="0" applyAlignment="1" applyProtection="1">
      <alignment horizontal="center" vertical="center"/>
    </xf>
    <xf numFmtId="164" fontId="1" fillId="2" borderId="9" xfId="0" applyNumberFormat="1" applyFont="1" applyFill="1" applyBorder="1" applyProtection="1">
      <protection locked="0"/>
    </xf>
    <xf numFmtId="164" fontId="7" fillId="0" borderId="9" xfId="0" applyNumberFormat="1" applyFont="1" applyFill="1" applyBorder="1" applyProtection="1">
      <protection locked="0"/>
    </xf>
    <xf numFmtId="0" fontId="0" fillId="0" borderId="0" xfId="0" applyAlignment="1" applyProtection="1">
      <alignment horizontal="center" vertical="center"/>
    </xf>
    <xf numFmtId="0" fontId="20" fillId="0" borderId="36" xfId="0" applyFont="1" applyFill="1" applyBorder="1" applyAlignment="1" applyProtection="1">
      <alignment horizontal="right" vertical="center" wrapText="1"/>
    </xf>
    <xf numFmtId="0" fontId="20" fillId="0" borderId="13" xfId="0" applyFont="1" applyFill="1" applyBorder="1" applyAlignment="1" applyProtection="1">
      <alignment horizontal="right" vertical="center" wrapText="1"/>
    </xf>
    <xf numFmtId="165" fontId="0" fillId="2" borderId="9" xfId="0" applyNumberFormat="1" applyFill="1" applyBorder="1" applyAlignment="1" applyProtection="1">
      <alignment horizontal="center" vertical="center" wrapText="1"/>
      <protection locked="0"/>
    </xf>
    <xf numFmtId="167" fontId="0" fillId="0" borderId="10" xfId="0" applyNumberFormat="1" applyBorder="1" applyAlignment="1" applyProtection="1">
      <alignment vertical="center"/>
    </xf>
    <xf numFmtId="167" fontId="0" fillId="0" borderId="9" xfId="0" applyNumberFormat="1" applyBorder="1" applyAlignment="1" applyProtection="1">
      <alignment vertical="center"/>
    </xf>
    <xf numFmtId="164" fontId="7" fillId="5" borderId="9" xfId="0" applyNumberFormat="1" applyFont="1" applyFill="1" applyBorder="1" applyProtection="1">
      <protection locked="0"/>
    </xf>
    <xf numFmtId="0" fontId="0" fillId="0" borderId="0" xfId="0" applyAlignment="1" applyProtection="1">
      <alignment vertical="top" wrapText="1" shrinkToFit="1"/>
    </xf>
    <xf numFmtId="0" fontId="0" fillId="0" borderId="0" xfId="0" applyAlignment="1" applyProtection="1">
      <alignment wrapText="1" shrinkToFit="1"/>
    </xf>
    <xf numFmtId="0" fontId="2" fillId="0" borderId="0" xfId="0" applyFont="1" applyBorder="1" applyAlignment="1" applyProtection="1">
      <alignment horizontal="right"/>
    </xf>
    <xf numFmtId="14" fontId="0" fillId="0" borderId="0" xfId="0" applyNumberFormat="1" applyBorder="1" applyProtection="1"/>
    <xf numFmtId="0" fontId="2" fillId="0" borderId="0" xfId="0" applyFont="1" applyBorder="1" applyAlignment="1" applyProtection="1">
      <alignment horizontal="center"/>
    </xf>
    <xf numFmtId="0" fontId="0" fillId="6" borderId="9" xfId="0" applyFill="1" applyBorder="1" applyAlignment="1" applyProtection="1">
      <alignment vertical="center"/>
      <protection locked="0"/>
    </xf>
    <xf numFmtId="0" fontId="0" fillId="6" borderId="9" xfId="0" applyFill="1" applyBorder="1" applyAlignment="1" applyProtection="1">
      <alignment horizontal="center" vertical="center"/>
      <protection locked="0"/>
    </xf>
    <xf numFmtId="2" fontId="4" fillId="0" borderId="9" xfId="0" applyNumberFormat="1" applyFont="1" applyBorder="1" applyAlignment="1" applyProtection="1">
      <alignment horizontal="right" vertical="center"/>
    </xf>
    <xf numFmtId="164" fontId="0" fillId="0" borderId="9" xfId="0" applyNumberFormat="1" applyFill="1" applyBorder="1" applyAlignment="1" applyProtection="1">
      <alignment horizontal="right" vertical="center"/>
    </xf>
    <xf numFmtId="164" fontId="0" fillId="0" borderId="9" xfId="0" applyNumberFormat="1" applyFill="1" applyBorder="1" applyAlignment="1" applyProtection="1">
      <alignment vertical="center"/>
    </xf>
    <xf numFmtId="49" fontId="0" fillId="0" borderId="0" xfId="0" applyNumberFormat="1" applyProtection="1"/>
    <xf numFmtId="0" fontId="1" fillId="0" borderId="3" xfId="0" applyNumberFormat="1" applyFont="1" applyBorder="1" applyAlignment="1" applyProtection="1">
      <alignment horizontal="center" vertical="center"/>
    </xf>
    <xf numFmtId="14" fontId="1" fillId="0" borderId="8" xfId="0" applyNumberFormat="1" applyFont="1" applyBorder="1" applyAlignment="1" applyProtection="1">
      <alignment horizontal="center" vertical="center"/>
    </xf>
    <xf numFmtId="14" fontId="1" fillId="2" borderId="9" xfId="0" applyNumberFormat="1" applyFont="1" applyFill="1" applyBorder="1" applyAlignment="1" applyProtection="1">
      <alignment horizontal="center" vertical="center"/>
      <protection locked="0"/>
    </xf>
    <xf numFmtId="0" fontId="2" fillId="0" borderId="26" xfId="0" applyFont="1" applyBorder="1" applyAlignment="1" applyProtection="1">
      <alignment horizontal="center" vertical="center"/>
    </xf>
    <xf numFmtId="165" fontId="1" fillId="2" borderId="9" xfId="0" applyNumberFormat="1" applyFont="1" applyFill="1" applyBorder="1" applyAlignment="1" applyProtection="1">
      <alignment horizontal="left" vertical="center"/>
    </xf>
    <xf numFmtId="2" fontId="0" fillId="0" borderId="9" xfId="0" applyNumberFormat="1" applyFill="1" applyBorder="1" applyAlignment="1" applyProtection="1">
      <alignment horizontal="center" vertical="center"/>
    </xf>
    <xf numFmtId="2" fontId="1" fillId="0" borderId="9" xfId="0" quotePrefix="1" applyNumberFormat="1" applyFont="1" applyFill="1" applyBorder="1" applyAlignment="1" applyProtection="1">
      <alignment horizontal="center" vertical="center"/>
    </xf>
    <xf numFmtId="0" fontId="0" fillId="6" borderId="9" xfId="0" applyFill="1" applyBorder="1" applyAlignment="1" applyProtection="1">
      <alignment horizontal="center" vertical="center"/>
      <protection locked="0"/>
    </xf>
    <xf numFmtId="0" fontId="4" fillId="0" borderId="0" xfId="0" applyFont="1" applyAlignment="1" applyProtection="1">
      <alignment horizontal="right" vertical="center"/>
    </xf>
    <xf numFmtId="0" fontId="2" fillId="0" borderId="0" xfId="0" applyFont="1" applyFill="1" applyBorder="1" applyAlignment="1" applyProtection="1">
      <alignment horizontal="right" vertical="center"/>
    </xf>
    <xf numFmtId="0" fontId="0" fillId="0" borderId="0" xfId="0" applyAlignment="1" applyProtection="1">
      <alignment horizontal="right" vertical="center"/>
    </xf>
    <xf numFmtId="0" fontId="0" fillId="0" borderId="38" xfId="0" applyBorder="1" applyAlignment="1" applyProtection="1">
      <alignment vertical="center"/>
    </xf>
    <xf numFmtId="0" fontId="5" fillId="0" borderId="38" xfId="0" applyFont="1" applyBorder="1" applyAlignment="1" applyProtection="1">
      <alignment vertical="center"/>
    </xf>
    <xf numFmtId="0" fontId="0" fillId="0" borderId="38" xfId="0" applyBorder="1" applyProtection="1"/>
    <xf numFmtId="0" fontId="0" fillId="0" borderId="25" xfId="0" applyBorder="1" applyAlignment="1">
      <alignment vertical="center"/>
    </xf>
    <xf numFmtId="0" fontId="0" fillId="0" borderId="9" xfId="0" applyBorder="1" applyAlignment="1" applyProtection="1">
      <alignment vertical="center"/>
      <protection locked="0"/>
    </xf>
    <xf numFmtId="0" fontId="1" fillId="0" borderId="9" xfId="0" applyFont="1" applyBorder="1" applyAlignment="1" applyProtection="1">
      <alignment horizontal="right" vertical="center"/>
    </xf>
    <xf numFmtId="167" fontId="1" fillId="0" borderId="9" xfId="0" applyNumberFormat="1" applyFont="1" applyBorder="1" applyAlignment="1" applyProtection="1">
      <alignment horizontal="right" vertical="center"/>
    </xf>
    <xf numFmtId="164" fontId="1" fillId="2" borderId="9" xfId="0" applyNumberFormat="1" applyFont="1" applyFill="1" applyBorder="1" applyAlignment="1" applyProtection="1">
      <alignment horizontal="right" vertical="center"/>
      <protection locked="0"/>
    </xf>
    <xf numFmtId="0" fontId="0" fillId="6" borderId="9" xfId="0" applyFill="1" applyBorder="1" applyAlignment="1" applyProtection="1">
      <alignment horizontal="center" vertical="center" wrapText="1"/>
      <protection locked="0"/>
    </xf>
    <xf numFmtId="0" fontId="2" fillId="0" borderId="16" xfId="0" applyFont="1" applyBorder="1" applyAlignment="1" applyProtection="1">
      <alignment horizontal="center" vertical="center" wrapText="1"/>
    </xf>
    <xf numFmtId="0" fontId="1" fillId="0" borderId="9" xfId="0" applyFont="1" applyBorder="1" applyAlignment="1" applyProtection="1">
      <alignment horizontal="left" vertical="center" wrapText="1"/>
    </xf>
    <xf numFmtId="0" fontId="1" fillId="6" borderId="9" xfId="0" quotePrefix="1" applyFont="1" applyFill="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xf>
    <xf numFmtId="0" fontId="24" fillId="0" borderId="26"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6" borderId="9" xfId="0" applyFont="1" applyFill="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5" fillId="6" borderId="9" xfId="0" applyFont="1" applyFill="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vertical="center"/>
      <protection locked="0"/>
    </xf>
    <xf numFmtId="0" fontId="12" fillId="0" borderId="0" xfId="0" applyFont="1" applyAlignment="1" applyProtection="1">
      <alignment horizontal="left" vertical="center"/>
      <protection locked="0"/>
    </xf>
    <xf numFmtId="0" fontId="18" fillId="0" borderId="0" xfId="0" applyFont="1" applyAlignment="1" applyProtection="1">
      <alignment horizontal="right" vertical="center"/>
    </xf>
    <xf numFmtId="0" fontId="17" fillId="0" borderId="0" xfId="0" applyNumberFormat="1" applyFont="1" applyBorder="1" applyAlignment="1" applyProtection="1">
      <alignment horizontal="right" vertical="center"/>
    </xf>
    <xf numFmtId="0" fontId="21" fillId="0" borderId="0" xfId="0" applyFont="1" applyAlignment="1" applyProtection="1">
      <alignment horizontal="left" vertical="center"/>
    </xf>
    <xf numFmtId="0" fontId="17" fillId="0" borderId="0" xfId="0" applyFont="1" applyAlignment="1" applyProtection="1">
      <alignment horizontal="right" vertical="center"/>
    </xf>
    <xf numFmtId="0" fontId="17" fillId="0" borderId="0" xfId="0" applyFont="1" applyAlignment="1" applyProtection="1">
      <alignment horizontal="center" vertical="center"/>
    </xf>
    <xf numFmtId="0" fontId="17" fillId="0" borderId="0" xfId="0" applyFont="1" applyAlignment="1" applyProtection="1">
      <alignment vertical="center"/>
    </xf>
    <xf numFmtId="14" fontId="17" fillId="0" borderId="0" xfId="0" applyNumberFormat="1" applyFont="1" applyAlignment="1" applyProtection="1">
      <alignment horizontal="right" vertical="center"/>
    </xf>
    <xf numFmtId="0" fontId="18" fillId="0" borderId="0" xfId="0" applyFont="1" applyAlignment="1" applyProtection="1">
      <alignment horizontal="right" vertical="center" wrapText="1"/>
    </xf>
    <xf numFmtId="166" fontId="17" fillId="0" borderId="0" xfId="0" applyNumberFormat="1" applyFont="1" applyAlignment="1" applyProtection="1">
      <alignment horizontal="right" vertical="center"/>
    </xf>
    <xf numFmtId="2" fontId="17" fillId="0" borderId="0" xfId="0" applyNumberFormat="1" applyFont="1" applyAlignment="1" applyProtection="1">
      <alignment horizontal="center" vertical="center"/>
    </xf>
    <xf numFmtId="0" fontId="18" fillId="0" borderId="0" xfId="0" quotePrefix="1" applyFont="1" applyAlignment="1" applyProtection="1">
      <alignment vertical="center"/>
    </xf>
    <xf numFmtId="0" fontId="18" fillId="0" borderId="0" xfId="0" applyFont="1" applyAlignment="1" applyProtection="1">
      <alignment vertical="center"/>
    </xf>
    <xf numFmtId="2" fontId="17" fillId="0" borderId="0" xfId="0" applyNumberFormat="1" applyFont="1" applyAlignment="1" applyProtection="1">
      <alignment horizontal="right" vertical="center"/>
    </xf>
    <xf numFmtId="2" fontId="18" fillId="0" borderId="0" xfId="0" applyNumberFormat="1" applyFont="1" applyAlignment="1" applyProtection="1">
      <alignment horizontal="right" vertical="center"/>
    </xf>
    <xf numFmtId="0" fontId="18" fillId="0" borderId="9" xfId="0" applyFont="1" applyBorder="1" applyAlignment="1" applyProtection="1">
      <alignment vertical="center"/>
    </xf>
    <xf numFmtId="2" fontId="17" fillId="0" borderId="9" xfId="0" applyNumberFormat="1" applyFont="1" applyBorder="1" applyAlignment="1" applyProtection="1">
      <alignment vertical="center"/>
    </xf>
    <xf numFmtId="164" fontId="17" fillId="0" borderId="9" xfId="0" applyNumberFormat="1" applyFont="1" applyBorder="1" applyAlignment="1" applyProtection="1">
      <alignment vertical="center"/>
    </xf>
    <xf numFmtId="0" fontId="16" fillId="0" borderId="25" xfId="0" applyFont="1" applyBorder="1" applyAlignment="1" applyProtection="1">
      <alignment horizontal="left" vertical="center"/>
    </xf>
    <xf numFmtId="0" fontId="19" fillId="0" borderId="0" xfId="0" applyFont="1" applyAlignment="1" applyProtection="1">
      <alignment vertical="center" wrapText="1"/>
      <protection locked="0"/>
    </xf>
    <xf numFmtId="0" fontId="20"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24" fillId="0" borderId="0" xfId="0" applyFont="1" applyAlignment="1" applyProtection="1">
      <alignment horizontal="left" vertical="center" wrapText="1"/>
      <protection locked="0"/>
    </xf>
    <xf numFmtId="0" fontId="25" fillId="0" borderId="0" xfId="0" applyFont="1" applyAlignment="1" applyProtection="1">
      <alignment horizontal="right"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left" vertical="center" wrapText="1" indent="3"/>
      <protection locked="0"/>
    </xf>
    <xf numFmtId="0" fontId="18" fillId="0" borderId="0" xfId="0" applyFont="1" applyBorder="1" applyAlignment="1" applyProtection="1">
      <alignment vertical="center"/>
    </xf>
    <xf numFmtId="164" fontId="17" fillId="0" borderId="0" xfId="0" applyNumberFormat="1" applyFont="1" applyBorder="1" applyAlignment="1" applyProtection="1">
      <alignment vertical="center"/>
    </xf>
    <xf numFmtId="0" fontId="15" fillId="7" borderId="25" xfId="0" applyFont="1" applyFill="1" applyBorder="1" applyAlignment="1">
      <alignment horizontal="left" vertical="center"/>
    </xf>
    <xf numFmtId="0" fontId="0" fillId="7" borderId="25" xfId="0" applyFill="1" applyBorder="1" applyAlignment="1">
      <alignment horizontal="left" vertical="center"/>
    </xf>
    <xf numFmtId="0" fontId="0" fillId="0" borderId="25" xfId="0" applyFill="1" applyBorder="1" applyAlignment="1" applyProtection="1">
      <alignment vertical="center"/>
      <protection locked="0"/>
    </xf>
    <xf numFmtId="0" fontId="19" fillId="0" borderId="25"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15" fillId="0" borderId="9" xfId="0" applyFont="1" applyBorder="1" applyAlignment="1" applyProtection="1">
      <alignment horizontal="center" vertical="center"/>
      <protection locked="0"/>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1" fillId="0" borderId="0" xfId="0" applyFont="1" applyBorder="1" applyProtection="1"/>
    <xf numFmtId="0" fontId="0" fillId="0" borderId="40" xfId="0" applyBorder="1" applyProtection="1"/>
    <xf numFmtId="0" fontId="0" fillId="0" borderId="41" xfId="0" applyBorder="1" applyProtection="1">
      <protection locked="0"/>
    </xf>
    <xf numFmtId="0" fontId="0" fillId="0" borderId="21" xfId="0" applyBorder="1" applyProtection="1">
      <protection locked="0"/>
    </xf>
    <xf numFmtId="0" fontId="0" fillId="0" borderId="19" xfId="0" applyBorder="1" applyProtection="1">
      <protection locked="0"/>
    </xf>
    <xf numFmtId="0" fontId="1" fillId="0" borderId="0" xfId="0" applyFont="1" applyBorder="1" applyProtection="1">
      <protection locked="0"/>
    </xf>
    <xf numFmtId="0" fontId="15" fillId="0" borderId="0" xfId="0" applyFont="1" applyBorder="1" applyAlignment="1" applyProtection="1">
      <alignment horizontal="center" vertical="center"/>
      <protection locked="0"/>
    </xf>
    <xf numFmtId="0" fontId="2" fillId="0" borderId="0" xfId="0" applyFont="1" applyBorder="1" applyProtection="1">
      <protection locked="0"/>
    </xf>
    <xf numFmtId="0" fontId="2" fillId="0" borderId="6" xfId="0" applyFont="1" applyBorder="1" applyAlignment="1" applyProtection="1">
      <alignment horizontal="center" vertical="center" textRotation="90" wrapText="1"/>
    </xf>
    <xf numFmtId="0" fontId="2" fillId="0" borderId="0" xfId="0" applyFont="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2" fontId="22" fillId="0" borderId="0" xfId="0" applyNumberFormat="1" applyFont="1" applyBorder="1" applyAlignment="1" applyProtection="1">
      <alignment horizontal="left" vertical="center"/>
    </xf>
    <xf numFmtId="2" fontId="22" fillId="0" borderId="0" xfId="0" applyNumberFormat="1"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31"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9" xfId="0" applyFont="1" applyBorder="1" applyAlignment="1" applyProtection="1">
      <alignment horizontal="left" vertical="center"/>
    </xf>
    <xf numFmtId="0" fontId="21" fillId="0" borderId="9" xfId="0" applyFont="1" applyBorder="1" applyAlignment="1" applyProtection="1">
      <alignment horizontal="center" vertical="center"/>
    </xf>
    <xf numFmtId="168" fontId="21" fillId="0" borderId="32" xfId="0" applyNumberFormat="1" applyFont="1" applyBorder="1" applyAlignment="1" applyProtection="1">
      <alignment horizontal="center" vertical="center"/>
    </xf>
    <xf numFmtId="0" fontId="21" fillId="0" borderId="32"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0" xfId="0" applyFont="1" applyBorder="1" applyAlignment="1" applyProtection="1">
      <alignment horizontal="left" vertical="center"/>
    </xf>
    <xf numFmtId="0" fontId="21" fillId="0" borderId="20" xfId="0" applyFont="1" applyBorder="1" applyAlignment="1" applyProtection="1">
      <alignment horizontal="center" vertical="center"/>
    </xf>
    <xf numFmtId="0" fontId="21" fillId="0" borderId="33" xfId="0" applyFont="1" applyBorder="1" applyAlignment="1" applyProtection="1">
      <alignment horizontal="center" vertical="center"/>
    </xf>
    <xf numFmtId="0" fontId="20" fillId="0" borderId="37" xfId="0" applyFont="1" applyFill="1" applyBorder="1" applyAlignment="1" applyProtection="1">
      <alignment horizontal="right" vertical="center" wrapText="1"/>
      <protection locked="0"/>
    </xf>
    <xf numFmtId="165" fontId="0" fillId="2" borderId="9" xfId="0" applyNumberFormat="1" applyFill="1" applyBorder="1" applyAlignment="1" applyProtection="1">
      <alignment horizontal="center" vertical="center"/>
      <protection locked="0"/>
    </xf>
    <xf numFmtId="0" fontId="2" fillId="0" borderId="4" xfId="0" applyFont="1" applyBorder="1" applyAlignment="1" applyProtection="1">
      <alignment horizontal="center" vertical="center" textRotation="90" wrapText="1"/>
    </xf>
    <xf numFmtId="0" fontId="0" fillId="0" borderId="9" xfId="0" applyBorder="1" applyAlignment="1">
      <alignment horizontal="center" vertical="center"/>
    </xf>
    <xf numFmtId="0" fontId="0" fillId="0" borderId="9" xfId="0" applyBorder="1" applyAlignment="1">
      <alignment vertical="center"/>
    </xf>
    <xf numFmtId="0" fontId="2" fillId="0" borderId="16" xfId="0" applyFont="1"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vertical="center"/>
    </xf>
    <xf numFmtId="0" fontId="1" fillId="0" borderId="28" xfId="0" applyFont="1" applyBorder="1" applyAlignment="1">
      <alignment vertical="center"/>
    </xf>
    <xf numFmtId="0" fontId="1" fillId="0" borderId="9" xfId="0" applyFont="1" applyBorder="1" applyAlignment="1">
      <alignment vertical="center"/>
    </xf>
    <xf numFmtId="0" fontId="15" fillId="0" borderId="9" xfId="0" applyFont="1" applyFill="1" applyBorder="1" applyAlignment="1" applyProtection="1">
      <alignment horizontal="center" vertical="center" wrapText="1"/>
      <protection locked="0"/>
    </xf>
    <xf numFmtId="0" fontId="21" fillId="0" borderId="9" xfId="0" applyFont="1" applyBorder="1" applyAlignment="1" applyProtection="1">
      <alignment horizontal="left" vertical="center" wrapText="1"/>
    </xf>
    <xf numFmtId="0" fontId="1" fillId="0" borderId="0" xfId="0" applyFont="1" applyBorder="1" applyAlignment="1" applyProtection="1">
      <alignment horizontal="right" vertical="center"/>
    </xf>
    <xf numFmtId="0" fontId="5" fillId="0" borderId="0" xfId="0" applyFont="1" applyBorder="1" applyAlignment="1" applyProtection="1">
      <alignment horizontal="left" vertical="center"/>
    </xf>
    <xf numFmtId="0" fontId="2" fillId="0" borderId="0" xfId="0" applyFont="1" applyAlignment="1" applyProtection="1">
      <alignment horizontal="right" vertical="center"/>
    </xf>
    <xf numFmtId="0" fontId="2" fillId="0" borderId="13" xfId="0" applyFont="1" applyBorder="1" applyAlignment="1" applyProtection="1">
      <alignment horizontal="right" vertical="center"/>
    </xf>
    <xf numFmtId="0" fontId="1" fillId="0" borderId="0" xfId="0" applyFont="1" applyAlignment="1" applyProtection="1">
      <alignment horizontal="left" vertical="center"/>
    </xf>
    <xf numFmtId="0" fontId="0" fillId="0" borderId="0" xfId="0" applyAlignment="1" applyProtection="1">
      <alignment horizontal="left" vertical="center"/>
    </xf>
    <xf numFmtId="0" fontId="2" fillId="0" borderId="1" xfId="0" applyFont="1" applyBorder="1" applyAlignment="1" applyProtection="1">
      <alignment horizontal="center" vertical="center" textRotation="90" wrapText="1"/>
    </xf>
    <xf numFmtId="0" fontId="2" fillId="0" borderId="4" xfId="0" applyFont="1" applyBorder="1" applyAlignment="1" applyProtection="1">
      <alignment horizontal="center" vertical="center" textRotation="90" wrapText="1"/>
    </xf>
    <xf numFmtId="0" fontId="1" fillId="0" borderId="29" xfId="0" applyFont="1" applyBorder="1" applyAlignment="1" applyProtection="1">
      <alignment horizontal="center" vertical="center"/>
    </xf>
    <xf numFmtId="0" fontId="1" fillId="0" borderId="0" xfId="0" applyFont="1" applyAlignment="1" applyProtection="1">
      <alignment horizontal="left" vertical="center" wrapText="1"/>
    </xf>
    <xf numFmtId="0" fontId="2" fillId="0" borderId="0" xfId="0" applyFont="1" applyAlignment="1" applyProtection="1">
      <alignment horizontal="left" vertical="center"/>
    </xf>
    <xf numFmtId="0" fontId="2" fillId="0" borderId="13" xfId="0" applyFont="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0" fontId="2" fillId="0" borderId="0" xfId="0" applyFont="1" applyAlignment="1" applyProtection="1">
      <alignment horizontal="right" vertical="center" wrapText="1"/>
    </xf>
    <xf numFmtId="0" fontId="2" fillId="0" borderId="13" xfId="0" applyFont="1" applyBorder="1" applyAlignment="1" applyProtection="1">
      <alignment horizontal="right" vertical="center" wrapText="1"/>
    </xf>
    <xf numFmtId="0" fontId="0" fillId="0" borderId="0" xfId="0" applyAlignment="1" applyProtection="1">
      <alignment horizontal="right" vertical="center"/>
    </xf>
    <xf numFmtId="0" fontId="2" fillId="0" borderId="0" xfId="0" applyFont="1" applyBorder="1" applyAlignment="1" applyProtection="1">
      <alignment horizontal="right" vertical="center" wrapText="1"/>
    </xf>
    <xf numFmtId="0" fontId="1" fillId="6" borderId="34" xfId="0" applyFont="1" applyFill="1" applyBorder="1" applyAlignment="1" applyProtection="1">
      <alignment horizontal="center" vertical="center"/>
      <protection locked="0"/>
    </xf>
    <xf numFmtId="0" fontId="0" fillId="6" borderId="35" xfId="0" applyFill="1" applyBorder="1" applyAlignment="1" applyProtection="1">
      <alignment horizontal="center" vertical="center"/>
      <protection locked="0"/>
    </xf>
    <xf numFmtId="0" fontId="2" fillId="0" borderId="0" xfId="0" applyFont="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1" fillId="0" borderId="9" xfId="0" applyFont="1" applyBorder="1" applyAlignment="1" applyProtection="1">
      <alignment horizontal="center" vertical="center"/>
    </xf>
    <xf numFmtId="0" fontId="2" fillId="0" borderId="17" xfId="0" applyFont="1" applyBorder="1" applyAlignment="1" applyProtection="1">
      <alignment horizontal="right" vertical="center"/>
    </xf>
    <xf numFmtId="0" fontId="0" fillId="6" borderId="9" xfId="0" applyFill="1" applyBorder="1" applyAlignment="1" applyProtection="1">
      <alignment horizontal="center" vertical="center"/>
      <protection locked="0"/>
    </xf>
    <xf numFmtId="0" fontId="1" fillId="6" borderId="9" xfId="0" applyFont="1" applyFill="1" applyBorder="1" applyAlignment="1" applyProtection="1">
      <alignment horizontal="center" vertical="center"/>
      <protection locked="0"/>
    </xf>
    <xf numFmtId="0" fontId="17" fillId="0" borderId="0" xfId="0" applyFont="1" applyAlignment="1">
      <alignment horizontal="center" vertical="center" wrapText="1"/>
    </xf>
    <xf numFmtId="0" fontId="15"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5" fillId="0" borderId="0" xfId="0" applyFont="1" applyAlignment="1" applyProtection="1">
      <alignment horizontal="center" vertical="center"/>
    </xf>
    <xf numFmtId="0" fontId="18" fillId="0" borderId="39" xfId="0" applyFont="1" applyBorder="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2" fillId="0" borderId="0" xfId="0" applyFont="1" applyBorder="1" applyAlignment="1" applyProtection="1">
      <alignment horizontal="center"/>
    </xf>
    <xf numFmtId="0" fontId="1" fillId="0" borderId="0" xfId="0" applyFont="1" applyAlignment="1" applyProtection="1">
      <alignment vertical="top" wrapText="1" shrinkToFit="1"/>
    </xf>
    <xf numFmtId="0" fontId="0" fillId="0" borderId="0" xfId="0" applyAlignment="1" applyProtection="1">
      <alignment wrapText="1" shrinkToFit="1"/>
    </xf>
    <xf numFmtId="0" fontId="0" fillId="0" borderId="0" xfId="0" applyBorder="1" applyAlignment="1" applyProtection="1">
      <alignment wrapText="1"/>
    </xf>
    <xf numFmtId="0" fontId="0" fillId="0" borderId="0" xfId="0" applyAlignment="1">
      <alignment wrapText="1"/>
    </xf>
    <xf numFmtId="0" fontId="0" fillId="0" borderId="0" xfId="0" applyAlignment="1" applyProtection="1">
      <alignment vertical="top" wrapText="1" shrinkToFit="1"/>
    </xf>
    <xf numFmtId="0" fontId="2" fillId="0" borderId="9" xfId="0" applyFont="1" applyFill="1" applyBorder="1" applyAlignment="1" applyProtection="1">
      <alignment horizontal="center" vertical="center"/>
    </xf>
    <xf numFmtId="0" fontId="2" fillId="0" borderId="9"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6" xfId="0" applyFont="1" applyFill="1" applyBorder="1" applyAlignment="1" applyProtection="1">
      <alignment horizontal="center" vertical="center"/>
    </xf>
    <xf numFmtId="0" fontId="0" fillId="0" borderId="9" xfId="0" applyBorder="1" applyAlignment="1" applyProtection="1">
      <alignment horizontal="center" vertical="center"/>
    </xf>
    <xf numFmtId="0" fontId="0" fillId="0" borderId="26" xfId="0" applyBorder="1" applyAlignment="1" applyProtection="1">
      <alignment horizontal="center" vertical="center"/>
    </xf>
  </cellXfs>
  <cellStyles count="1">
    <cellStyle name="Normal" xfId="0" builtinId="0"/>
  </cellStyles>
  <dxfs count="0"/>
  <tableStyles count="0" defaultTableStyle="TableStyleMedium9" defaultPivotStyle="PivotStyleLight16"/>
  <colors>
    <mruColors>
      <color rgb="FF99CCFF"/>
      <color rgb="FF2B4600"/>
      <color rgb="FF004600"/>
      <color rgb="FF005000"/>
      <color rgb="FF003300"/>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onstants!$E$15" lockText="1" noThreeD="1"/>
</file>

<file path=xl/ctrlProps/ctrlProp10.xml><?xml version="1.0" encoding="utf-8"?>
<formControlPr xmlns="http://schemas.microsoft.com/office/spreadsheetml/2009/9/main" objectType="CheckBox" fmlaLink="Constants!$E$21" lockText="1" noThreeD="1"/>
</file>

<file path=xl/ctrlProps/ctrlProp11.xml><?xml version="1.0" encoding="utf-8"?>
<formControlPr xmlns="http://schemas.microsoft.com/office/spreadsheetml/2009/9/main" objectType="CheckBox" fmlaLink="Constants!$E$17" lockText="1" noThreeD="1"/>
</file>

<file path=xl/ctrlProps/ctrlProp2.xml><?xml version="1.0" encoding="utf-8"?>
<formControlPr xmlns="http://schemas.microsoft.com/office/spreadsheetml/2009/9/main" objectType="CheckBox" fmlaLink="Constants!$E$13" lockText="1" noThreeD="1"/>
</file>

<file path=xl/ctrlProps/ctrlProp3.xml><?xml version="1.0" encoding="utf-8"?>
<formControlPr xmlns="http://schemas.microsoft.com/office/spreadsheetml/2009/9/main" objectType="CheckBox" fmlaLink="Constants!$E$16" lockText="1" noThreeD="1"/>
</file>

<file path=xl/ctrlProps/ctrlProp4.xml><?xml version="1.0" encoding="utf-8"?>
<formControlPr xmlns="http://schemas.microsoft.com/office/spreadsheetml/2009/9/main" objectType="CheckBox" fmlaLink="Constants!$E$11" lockText="1" noThreeD="1"/>
</file>

<file path=xl/ctrlProps/ctrlProp5.xml><?xml version="1.0" encoding="utf-8"?>
<formControlPr xmlns="http://schemas.microsoft.com/office/spreadsheetml/2009/9/main" objectType="CheckBox" fmlaLink="Constants!$E$12" lockText="1" noThreeD="1"/>
</file>

<file path=xl/ctrlProps/ctrlProp6.xml><?xml version="1.0" encoding="utf-8"?>
<formControlPr xmlns="http://schemas.microsoft.com/office/spreadsheetml/2009/9/main" objectType="CheckBox" fmlaLink="Constants!$E$14" lockText="1" noThreeD="1"/>
</file>

<file path=xl/ctrlProps/ctrlProp7.xml><?xml version="1.0" encoding="utf-8"?>
<formControlPr xmlns="http://schemas.microsoft.com/office/spreadsheetml/2009/9/main" objectType="CheckBox" fmlaLink="Constants!$E$19" lockText="1" noThreeD="1"/>
</file>

<file path=xl/ctrlProps/ctrlProp8.xml><?xml version="1.0" encoding="utf-8"?>
<formControlPr xmlns="http://schemas.microsoft.com/office/spreadsheetml/2009/9/main" objectType="CheckBox" fmlaLink="Constants!$E$18" lockText="1" noThreeD="1"/>
</file>

<file path=xl/ctrlProps/ctrlProp9.xml><?xml version="1.0" encoding="utf-8"?>
<formControlPr xmlns="http://schemas.microsoft.com/office/spreadsheetml/2009/9/main" objectType="CheckBox" fmlaLink="Constants!$E$2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466725</xdr:colOff>
          <xdr:row>18</xdr:row>
          <xdr:rowOff>85725</xdr:rowOff>
        </xdr:from>
        <xdr:to>
          <xdr:col>2</xdr:col>
          <xdr:colOff>704850</xdr:colOff>
          <xdr:row>18</xdr:row>
          <xdr:rowOff>247650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xdr:row>
          <xdr:rowOff>85725</xdr:rowOff>
        </xdr:from>
        <xdr:to>
          <xdr:col>2</xdr:col>
          <xdr:colOff>504825</xdr:colOff>
          <xdr:row>17</xdr:row>
          <xdr:rowOff>257175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xdr:row>
          <xdr:rowOff>85725</xdr:rowOff>
        </xdr:from>
        <xdr:to>
          <xdr:col>2</xdr:col>
          <xdr:colOff>514350</xdr:colOff>
          <xdr:row>19</xdr:row>
          <xdr:rowOff>247650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57150</xdr:rowOff>
        </xdr:from>
        <xdr:to>
          <xdr:col>2</xdr:col>
          <xdr:colOff>514350</xdr:colOff>
          <xdr:row>16</xdr:row>
          <xdr:rowOff>285750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16</xdr:row>
          <xdr:rowOff>57150</xdr:rowOff>
        </xdr:from>
        <xdr:to>
          <xdr:col>3</xdr:col>
          <xdr:colOff>0</xdr:colOff>
          <xdr:row>16</xdr:row>
          <xdr:rowOff>285750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17</xdr:row>
          <xdr:rowOff>85725</xdr:rowOff>
        </xdr:from>
        <xdr:to>
          <xdr:col>2</xdr:col>
          <xdr:colOff>1152525</xdr:colOff>
          <xdr:row>17</xdr:row>
          <xdr:rowOff>257175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21</xdr:row>
          <xdr:rowOff>85725</xdr:rowOff>
        </xdr:from>
        <xdr:to>
          <xdr:col>2</xdr:col>
          <xdr:colOff>685800</xdr:colOff>
          <xdr:row>21</xdr:row>
          <xdr:rowOff>247650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20</xdr:row>
          <xdr:rowOff>85725</xdr:rowOff>
        </xdr:from>
        <xdr:to>
          <xdr:col>2</xdr:col>
          <xdr:colOff>685800</xdr:colOff>
          <xdr:row>20</xdr:row>
          <xdr:rowOff>247650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22</xdr:row>
          <xdr:rowOff>85725</xdr:rowOff>
        </xdr:from>
        <xdr:to>
          <xdr:col>2</xdr:col>
          <xdr:colOff>685800</xdr:colOff>
          <xdr:row>22</xdr:row>
          <xdr:rowOff>247650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23</xdr:row>
          <xdr:rowOff>85725</xdr:rowOff>
        </xdr:from>
        <xdr:to>
          <xdr:col>2</xdr:col>
          <xdr:colOff>685800</xdr:colOff>
          <xdr:row>23</xdr:row>
          <xdr:rowOff>247650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xdr:col>
      <xdr:colOff>790575</xdr:colOff>
      <xdr:row>3</xdr:row>
      <xdr:rowOff>52197</xdr:rowOff>
    </xdr:to>
    <xdr:pic>
      <xdr:nvPicPr>
        <xdr:cNvPr id="15" name="Picture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43200" cy="6522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942975</xdr:colOff>
          <xdr:row>19</xdr:row>
          <xdr:rowOff>85725</xdr:rowOff>
        </xdr:from>
        <xdr:to>
          <xdr:col>3</xdr:col>
          <xdr:colOff>0</xdr:colOff>
          <xdr:row>19</xdr:row>
          <xdr:rowOff>247650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215339</xdr:colOff>
      <xdr:row>40</xdr:row>
      <xdr:rowOff>190501</xdr:rowOff>
    </xdr:from>
    <xdr:to>
      <xdr:col>6</xdr:col>
      <xdr:colOff>828253</xdr:colOff>
      <xdr:row>41</xdr:row>
      <xdr:rowOff>231914</xdr:rowOff>
    </xdr:to>
    <xdr:sp macro="" textlink="">
      <xdr:nvSpPr>
        <xdr:cNvPr id="92" name="TextBox 91"/>
        <xdr:cNvSpPr txBox="1"/>
      </xdr:nvSpPr>
      <xdr:spPr>
        <a:xfrm>
          <a:off x="6385882" y="8829262"/>
          <a:ext cx="612914"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Bottom</a:t>
          </a:r>
        </a:p>
      </xdr:txBody>
    </xdr:sp>
    <xdr:clientData/>
  </xdr:twoCellAnchor>
  <xdr:twoCellAnchor>
    <xdr:from>
      <xdr:col>6</xdr:col>
      <xdr:colOff>339577</xdr:colOff>
      <xdr:row>39</xdr:row>
      <xdr:rowOff>149086</xdr:rowOff>
    </xdr:from>
    <xdr:to>
      <xdr:col>6</xdr:col>
      <xdr:colOff>861398</xdr:colOff>
      <xdr:row>40</xdr:row>
      <xdr:rowOff>190499</xdr:rowOff>
    </xdr:to>
    <xdr:sp macro="" textlink="">
      <xdr:nvSpPr>
        <xdr:cNvPr id="88" name="TextBox 87"/>
        <xdr:cNvSpPr txBox="1"/>
      </xdr:nvSpPr>
      <xdr:spPr>
        <a:xfrm>
          <a:off x="6510120" y="8456543"/>
          <a:ext cx="521821"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Port</a:t>
          </a:r>
        </a:p>
      </xdr:txBody>
    </xdr:sp>
    <xdr:clientData/>
  </xdr:twoCellAnchor>
  <xdr:twoCellAnchor>
    <xdr:from>
      <xdr:col>6</xdr:col>
      <xdr:colOff>306440</xdr:colOff>
      <xdr:row>34</xdr:row>
      <xdr:rowOff>223624</xdr:rowOff>
    </xdr:from>
    <xdr:to>
      <xdr:col>7</xdr:col>
      <xdr:colOff>231912</xdr:colOff>
      <xdr:row>36</xdr:row>
      <xdr:rowOff>33124</xdr:rowOff>
    </xdr:to>
    <xdr:sp macro="" textlink="">
      <xdr:nvSpPr>
        <xdr:cNvPr id="87" name="TextBox 86"/>
        <xdr:cNvSpPr txBox="1"/>
      </xdr:nvSpPr>
      <xdr:spPr>
        <a:xfrm>
          <a:off x="6476983" y="7371515"/>
          <a:ext cx="977364"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Starboard</a:t>
          </a:r>
        </a:p>
      </xdr:txBody>
    </xdr:sp>
    <xdr:clientData/>
  </xdr:twoCellAnchor>
  <xdr:twoCellAnchor>
    <xdr:from>
      <xdr:col>6</xdr:col>
      <xdr:colOff>231914</xdr:colOff>
      <xdr:row>34</xdr:row>
      <xdr:rowOff>41418</xdr:rowOff>
    </xdr:from>
    <xdr:to>
      <xdr:col>6</xdr:col>
      <xdr:colOff>695740</xdr:colOff>
      <xdr:row>35</xdr:row>
      <xdr:rowOff>82831</xdr:rowOff>
    </xdr:to>
    <xdr:sp macro="" textlink="">
      <xdr:nvSpPr>
        <xdr:cNvPr id="93" name="TextBox 92"/>
        <xdr:cNvSpPr txBox="1"/>
      </xdr:nvSpPr>
      <xdr:spPr>
        <a:xfrm>
          <a:off x="6402457" y="7189309"/>
          <a:ext cx="463826"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Top</a:t>
          </a:r>
        </a:p>
      </xdr:txBody>
    </xdr:sp>
    <xdr:clientData/>
  </xdr:twoCellAnchor>
  <xdr:twoCellAnchor>
    <xdr:from>
      <xdr:col>6</xdr:col>
      <xdr:colOff>215339</xdr:colOff>
      <xdr:row>36</xdr:row>
      <xdr:rowOff>41414</xdr:rowOff>
    </xdr:from>
    <xdr:to>
      <xdr:col>6</xdr:col>
      <xdr:colOff>828253</xdr:colOff>
      <xdr:row>37</xdr:row>
      <xdr:rowOff>82827</xdr:rowOff>
    </xdr:to>
    <xdr:sp macro="" textlink="">
      <xdr:nvSpPr>
        <xdr:cNvPr id="94" name="TextBox 93"/>
        <xdr:cNvSpPr txBox="1"/>
      </xdr:nvSpPr>
      <xdr:spPr>
        <a:xfrm>
          <a:off x="6385882" y="7653131"/>
          <a:ext cx="612914"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Bottom</a:t>
          </a:r>
        </a:p>
      </xdr:txBody>
    </xdr:sp>
    <xdr:clientData/>
  </xdr:twoCellAnchor>
  <xdr:twoCellAnchor>
    <xdr:from>
      <xdr:col>6</xdr:col>
      <xdr:colOff>231914</xdr:colOff>
      <xdr:row>38</xdr:row>
      <xdr:rowOff>190505</xdr:rowOff>
    </xdr:from>
    <xdr:to>
      <xdr:col>6</xdr:col>
      <xdr:colOff>695740</xdr:colOff>
      <xdr:row>40</xdr:row>
      <xdr:rowOff>4</xdr:rowOff>
    </xdr:to>
    <xdr:sp macro="" textlink="">
      <xdr:nvSpPr>
        <xdr:cNvPr id="91" name="TextBox 90"/>
        <xdr:cNvSpPr txBox="1"/>
      </xdr:nvSpPr>
      <xdr:spPr>
        <a:xfrm>
          <a:off x="6402457" y="8266048"/>
          <a:ext cx="463826"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Top</a:t>
          </a:r>
        </a:p>
      </xdr:txBody>
    </xdr:sp>
    <xdr:clientData/>
  </xdr:twoCellAnchor>
  <xdr:twoCellAnchor>
    <xdr:from>
      <xdr:col>1</xdr:col>
      <xdr:colOff>66244</xdr:colOff>
      <xdr:row>34</xdr:row>
      <xdr:rowOff>223624</xdr:rowOff>
    </xdr:from>
    <xdr:to>
      <xdr:col>1</xdr:col>
      <xdr:colOff>1043608</xdr:colOff>
      <xdr:row>36</xdr:row>
      <xdr:rowOff>33124</xdr:rowOff>
    </xdr:to>
    <xdr:sp macro="" textlink="">
      <xdr:nvSpPr>
        <xdr:cNvPr id="85" name="TextBox 84"/>
        <xdr:cNvSpPr txBox="1"/>
      </xdr:nvSpPr>
      <xdr:spPr>
        <a:xfrm>
          <a:off x="132505" y="7371515"/>
          <a:ext cx="977364"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Starboard</a:t>
          </a:r>
        </a:p>
      </xdr:txBody>
    </xdr:sp>
    <xdr:clientData/>
  </xdr:twoCellAnchor>
  <xdr:twoCellAnchor>
    <xdr:from>
      <xdr:col>1</xdr:col>
      <xdr:colOff>372708</xdr:colOff>
      <xdr:row>39</xdr:row>
      <xdr:rowOff>132515</xdr:rowOff>
    </xdr:from>
    <xdr:to>
      <xdr:col>1</xdr:col>
      <xdr:colOff>894529</xdr:colOff>
      <xdr:row>40</xdr:row>
      <xdr:rowOff>173928</xdr:rowOff>
    </xdr:to>
    <xdr:sp macro="" textlink="">
      <xdr:nvSpPr>
        <xdr:cNvPr id="86" name="TextBox 85"/>
        <xdr:cNvSpPr txBox="1"/>
      </xdr:nvSpPr>
      <xdr:spPr>
        <a:xfrm>
          <a:off x="438969" y="8439972"/>
          <a:ext cx="521821"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Port</a:t>
          </a:r>
        </a:p>
      </xdr:txBody>
    </xdr:sp>
    <xdr:clientData/>
  </xdr:twoCellAnchor>
  <xdr:twoCellAnchor>
    <xdr:from>
      <xdr:col>1</xdr:col>
      <xdr:colOff>612917</xdr:colOff>
      <xdr:row>38</xdr:row>
      <xdr:rowOff>182222</xdr:rowOff>
    </xdr:from>
    <xdr:to>
      <xdr:col>1</xdr:col>
      <xdr:colOff>1076743</xdr:colOff>
      <xdr:row>39</xdr:row>
      <xdr:rowOff>223634</xdr:rowOff>
    </xdr:to>
    <xdr:sp macro="" textlink="">
      <xdr:nvSpPr>
        <xdr:cNvPr id="79" name="TextBox 78"/>
        <xdr:cNvSpPr txBox="1"/>
      </xdr:nvSpPr>
      <xdr:spPr>
        <a:xfrm>
          <a:off x="679178" y="8257765"/>
          <a:ext cx="463826"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Top</a:t>
          </a:r>
        </a:p>
      </xdr:txBody>
    </xdr:sp>
    <xdr:clientData/>
  </xdr:twoCellAnchor>
  <xdr:twoCellAnchor>
    <xdr:from>
      <xdr:col>1</xdr:col>
      <xdr:colOff>414124</xdr:colOff>
      <xdr:row>40</xdr:row>
      <xdr:rowOff>149085</xdr:rowOff>
    </xdr:from>
    <xdr:to>
      <xdr:col>1</xdr:col>
      <xdr:colOff>1027038</xdr:colOff>
      <xdr:row>41</xdr:row>
      <xdr:rowOff>190498</xdr:rowOff>
    </xdr:to>
    <xdr:sp macro="" textlink="">
      <xdr:nvSpPr>
        <xdr:cNvPr id="80" name="TextBox 79"/>
        <xdr:cNvSpPr txBox="1"/>
      </xdr:nvSpPr>
      <xdr:spPr>
        <a:xfrm>
          <a:off x="480385" y="8688455"/>
          <a:ext cx="612914"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Bottom</a:t>
          </a:r>
        </a:p>
      </xdr:txBody>
    </xdr:sp>
    <xdr:clientData/>
  </xdr:twoCellAnchor>
  <xdr:twoCellAnchor>
    <xdr:from>
      <xdr:col>1</xdr:col>
      <xdr:colOff>670892</xdr:colOff>
      <xdr:row>33</xdr:row>
      <xdr:rowOff>223631</xdr:rowOff>
    </xdr:from>
    <xdr:to>
      <xdr:col>1</xdr:col>
      <xdr:colOff>1134718</xdr:colOff>
      <xdr:row>35</xdr:row>
      <xdr:rowOff>33131</xdr:rowOff>
    </xdr:to>
    <xdr:sp macro="" textlink="">
      <xdr:nvSpPr>
        <xdr:cNvPr id="6" name="TextBox 5"/>
        <xdr:cNvSpPr txBox="1"/>
      </xdr:nvSpPr>
      <xdr:spPr>
        <a:xfrm>
          <a:off x="737153" y="7139609"/>
          <a:ext cx="463826"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Top</a:t>
          </a:r>
        </a:p>
      </xdr:txBody>
    </xdr:sp>
    <xdr:clientData/>
  </xdr:twoCellAnchor>
  <xdr:twoCellAnchor>
    <xdr:from>
      <xdr:col>1</xdr:col>
      <xdr:colOff>455538</xdr:colOff>
      <xdr:row>36</xdr:row>
      <xdr:rowOff>41410</xdr:rowOff>
    </xdr:from>
    <xdr:to>
      <xdr:col>1</xdr:col>
      <xdr:colOff>1068452</xdr:colOff>
      <xdr:row>37</xdr:row>
      <xdr:rowOff>82823</xdr:rowOff>
    </xdr:to>
    <xdr:sp macro="" textlink="">
      <xdr:nvSpPr>
        <xdr:cNvPr id="78" name="TextBox 77"/>
        <xdr:cNvSpPr txBox="1"/>
      </xdr:nvSpPr>
      <xdr:spPr>
        <a:xfrm>
          <a:off x="521799" y="7653127"/>
          <a:ext cx="612914"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Bottom</a:t>
          </a:r>
        </a:p>
      </xdr:txBody>
    </xdr:sp>
    <xdr:clientData/>
  </xdr:twoCellAnchor>
  <xdr:twoCellAnchor>
    <xdr:from>
      <xdr:col>1</xdr:col>
      <xdr:colOff>257175</xdr:colOff>
      <xdr:row>22</xdr:row>
      <xdr:rowOff>9525</xdr:rowOff>
    </xdr:from>
    <xdr:to>
      <xdr:col>2</xdr:col>
      <xdr:colOff>704850</xdr:colOff>
      <xdr:row>31</xdr:row>
      <xdr:rowOff>123825</xdr:rowOff>
    </xdr:to>
    <xdr:sp macro="" textlink="">
      <xdr:nvSpPr>
        <xdr:cNvPr id="10" name="Oval 9"/>
        <xdr:cNvSpPr/>
      </xdr:nvSpPr>
      <xdr:spPr>
        <a:xfrm>
          <a:off x="322865" y="5336956"/>
          <a:ext cx="2168744" cy="2183524"/>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352425</xdr:colOff>
      <xdr:row>22</xdr:row>
      <xdr:rowOff>5912</xdr:rowOff>
    </xdr:from>
    <xdr:to>
      <xdr:col>6</xdr:col>
      <xdr:colOff>895350</xdr:colOff>
      <xdr:row>31</xdr:row>
      <xdr:rowOff>120212</xdr:rowOff>
    </xdr:to>
    <xdr:sp macro="" textlink="">
      <xdr:nvSpPr>
        <xdr:cNvPr id="2" name="Oval 1"/>
        <xdr:cNvSpPr/>
      </xdr:nvSpPr>
      <xdr:spPr>
        <a:xfrm>
          <a:off x="4891580" y="5333343"/>
          <a:ext cx="2172029" cy="2183524"/>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819150</xdr:colOff>
      <xdr:row>22</xdr:row>
      <xdr:rowOff>9525</xdr:rowOff>
    </xdr:from>
    <xdr:to>
      <xdr:col>5</xdr:col>
      <xdr:colOff>238125</xdr:colOff>
      <xdr:row>31</xdr:row>
      <xdr:rowOff>123825</xdr:rowOff>
    </xdr:to>
    <xdr:sp macro="" textlink="">
      <xdr:nvSpPr>
        <xdr:cNvPr id="9" name="Oval 8"/>
        <xdr:cNvSpPr/>
      </xdr:nvSpPr>
      <xdr:spPr>
        <a:xfrm>
          <a:off x="2609850" y="5314950"/>
          <a:ext cx="2171700" cy="21717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959069</xdr:colOff>
      <xdr:row>22</xdr:row>
      <xdr:rowOff>124810</xdr:rowOff>
    </xdr:from>
    <xdr:to>
      <xdr:col>1</xdr:col>
      <xdr:colOff>1707931</xdr:colOff>
      <xdr:row>24</xdr:row>
      <xdr:rowOff>210206</xdr:rowOff>
    </xdr:to>
    <xdr:sp macro="" textlink="" fLocksText="0">
      <xdr:nvSpPr>
        <xdr:cNvPr id="5" name="Trapezoid 4"/>
        <xdr:cNvSpPr/>
      </xdr:nvSpPr>
      <xdr:spPr>
        <a:xfrm rot="10800000">
          <a:off x="1024759" y="5452241"/>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1</xdr:col>
      <xdr:colOff>959069</xdr:colOff>
      <xdr:row>28</xdr:row>
      <xdr:rowOff>151086</xdr:rowOff>
    </xdr:from>
    <xdr:to>
      <xdr:col>1</xdr:col>
      <xdr:colOff>1707931</xdr:colOff>
      <xdr:row>31</xdr:row>
      <xdr:rowOff>6569</xdr:rowOff>
    </xdr:to>
    <xdr:sp macro="" textlink="" fLocksText="0">
      <xdr:nvSpPr>
        <xdr:cNvPr id="18" name="Trapezoid 17"/>
        <xdr:cNvSpPr/>
      </xdr:nvSpPr>
      <xdr:spPr>
        <a:xfrm>
          <a:off x="1024759" y="6858000"/>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2</xdr:col>
      <xdr:colOff>62406</xdr:colOff>
      <xdr:row>25</xdr:row>
      <xdr:rowOff>36131</xdr:rowOff>
    </xdr:from>
    <xdr:to>
      <xdr:col>2</xdr:col>
      <xdr:colOff>607630</xdr:colOff>
      <xdr:row>28</xdr:row>
      <xdr:rowOff>95251</xdr:rowOff>
    </xdr:to>
    <xdr:sp macro="" textlink="" fLocksText="0">
      <xdr:nvSpPr>
        <xdr:cNvPr id="19" name="Trapezoid 18"/>
        <xdr:cNvSpPr/>
      </xdr:nvSpPr>
      <xdr:spPr>
        <a:xfrm rot="16200000">
          <a:off x="1747346" y="6155122"/>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1</xdr:col>
      <xdr:colOff>377716</xdr:colOff>
      <xdr:row>25</xdr:row>
      <xdr:rowOff>36131</xdr:rowOff>
    </xdr:from>
    <xdr:to>
      <xdr:col>1</xdr:col>
      <xdr:colOff>922940</xdr:colOff>
      <xdr:row>28</xdr:row>
      <xdr:rowOff>95251</xdr:rowOff>
    </xdr:to>
    <xdr:sp macro="" textlink="" fLocksText="0">
      <xdr:nvSpPr>
        <xdr:cNvPr id="20" name="Trapezoid 19"/>
        <xdr:cNvSpPr/>
      </xdr:nvSpPr>
      <xdr:spPr>
        <a:xfrm rot="5400000">
          <a:off x="341587" y="6155122"/>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1</xdr:col>
      <xdr:colOff>1477101</xdr:colOff>
      <xdr:row>27</xdr:row>
      <xdr:rowOff>183016</xdr:rowOff>
    </xdr:from>
    <xdr:to>
      <xdr:col>2</xdr:col>
      <xdr:colOff>504894</xdr:colOff>
      <xdr:row>30</xdr:row>
      <xdr:rowOff>38499</xdr:rowOff>
    </xdr:to>
    <xdr:sp macro="" textlink="" fLocksText="0">
      <xdr:nvSpPr>
        <xdr:cNvPr id="23" name="Trapezoid 22"/>
        <xdr:cNvSpPr/>
      </xdr:nvSpPr>
      <xdr:spPr>
        <a:xfrm rot="18900000">
          <a:off x="1542791" y="6660016"/>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1</xdr:col>
      <xdr:colOff>483079</xdr:colOff>
      <xdr:row>23</xdr:row>
      <xdr:rowOff>108650</xdr:rowOff>
    </xdr:from>
    <xdr:to>
      <xdr:col>1</xdr:col>
      <xdr:colOff>1231941</xdr:colOff>
      <xdr:row>25</xdr:row>
      <xdr:rowOff>194047</xdr:rowOff>
    </xdr:to>
    <xdr:sp macro="" textlink="" fLocksText="0">
      <xdr:nvSpPr>
        <xdr:cNvPr id="24" name="Trapezoid 23"/>
        <xdr:cNvSpPr/>
      </xdr:nvSpPr>
      <xdr:spPr>
        <a:xfrm rot="8100000">
          <a:off x="548769" y="5665995"/>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1</xdr:col>
      <xdr:colOff>1580233</xdr:colOff>
      <xdr:row>23</xdr:row>
      <xdr:rowOff>1577</xdr:rowOff>
    </xdr:from>
    <xdr:to>
      <xdr:col>2</xdr:col>
      <xdr:colOff>404388</xdr:colOff>
      <xdr:row>26</xdr:row>
      <xdr:rowOff>60698</xdr:rowOff>
    </xdr:to>
    <xdr:sp macro="" textlink="" fLocksText="0">
      <xdr:nvSpPr>
        <xdr:cNvPr id="26" name="Trapezoid 25"/>
        <xdr:cNvSpPr/>
      </xdr:nvSpPr>
      <xdr:spPr>
        <a:xfrm rot="13500000">
          <a:off x="1544104" y="5660741"/>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1</xdr:col>
      <xdr:colOff>586211</xdr:colOff>
      <xdr:row>27</xdr:row>
      <xdr:rowOff>75943</xdr:rowOff>
    </xdr:from>
    <xdr:to>
      <xdr:col>1</xdr:col>
      <xdr:colOff>1131435</xdr:colOff>
      <xdr:row>30</xdr:row>
      <xdr:rowOff>135064</xdr:rowOff>
    </xdr:to>
    <xdr:sp macro="" textlink="" fLocksText="0">
      <xdr:nvSpPr>
        <xdr:cNvPr id="27" name="Trapezoid 26"/>
        <xdr:cNvSpPr/>
      </xdr:nvSpPr>
      <xdr:spPr>
        <a:xfrm rot="2700000">
          <a:off x="550082" y="6654762"/>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3</xdr:col>
      <xdr:colOff>538656</xdr:colOff>
      <xdr:row>22</xdr:row>
      <xdr:rowOff>124810</xdr:rowOff>
    </xdr:from>
    <xdr:to>
      <xdr:col>4</xdr:col>
      <xdr:colOff>400707</xdr:colOff>
      <xdr:row>24</xdr:row>
      <xdr:rowOff>210206</xdr:rowOff>
    </xdr:to>
    <xdr:sp macro="" textlink="" fLocksText="0">
      <xdr:nvSpPr>
        <xdr:cNvPr id="44" name="Trapezoid 43"/>
        <xdr:cNvSpPr/>
      </xdr:nvSpPr>
      <xdr:spPr>
        <a:xfrm rot="10800000">
          <a:off x="3304190" y="5452241"/>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3</xdr:col>
      <xdr:colOff>538656</xdr:colOff>
      <xdr:row>28</xdr:row>
      <xdr:rowOff>151086</xdr:rowOff>
    </xdr:from>
    <xdr:to>
      <xdr:col>4</xdr:col>
      <xdr:colOff>400707</xdr:colOff>
      <xdr:row>31</xdr:row>
      <xdr:rowOff>6569</xdr:rowOff>
    </xdr:to>
    <xdr:sp macro="" textlink="" fLocksText="0">
      <xdr:nvSpPr>
        <xdr:cNvPr id="45" name="Trapezoid 44"/>
        <xdr:cNvSpPr/>
      </xdr:nvSpPr>
      <xdr:spPr>
        <a:xfrm>
          <a:off x="3304190" y="6858000"/>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4</xdr:col>
      <xdr:colOff>476251</xdr:colOff>
      <xdr:row>25</xdr:row>
      <xdr:rowOff>36131</xdr:rowOff>
    </xdr:from>
    <xdr:to>
      <xdr:col>5</xdr:col>
      <xdr:colOff>134665</xdr:colOff>
      <xdr:row>28</xdr:row>
      <xdr:rowOff>95251</xdr:rowOff>
    </xdr:to>
    <xdr:sp macro="" textlink="" fLocksText="0">
      <xdr:nvSpPr>
        <xdr:cNvPr id="46" name="Trapezoid 45"/>
        <xdr:cNvSpPr/>
      </xdr:nvSpPr>
      <xdr:spPr>
        <a:xfrm rot="16200000">
          <a:off x="4026777" y="6155122"/>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2</xdr:col>
      <xdr:colOff>936078</xdr:colOff>
      <xdr:row>25</xdr:row>
      <xdr:rowOff>36131</xdr:rowOff>
    </xdr:from>
    <xdr:to>
      <xdr:col>3</xdr:col>
      <xdr:colOff>502527</xdr:colOff>
      <xdr:row>28</xdr:row>
      <xdr:rowOff>95251</xdr:rowOff>
    </xdr:to>
    <xdr:sp macro="" textlink="" fLocksText="0">
      <xdr:nvSpPr>
        <xdr:cNvPr id="47" name="Trapezoid 46"/>
        <xdr:cNvSpPr/>
      </xdr:nvSpPr>
      <xdr:spPr>
        <a:xfrm rot="5400000">
          <a:off x="2621018" y="6155122"/>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4</xdr:col>
      <xdr:colOff>169877</xdr:colOff>
      <xdr:row>27</xdr:row>
      <xdr:rowOff>183016</xdr:rowOff>
    </xdr:from>
    <xdr:to>
      <xdr:col>5</xdr:col>
      <xdr:colOff>31929</xdr:colOff>
      <xdr:row>30</xdr:row>
      <xdr:rowOff>38499</xdr:rowOff>
    </xdr:to>
    <xdr:sp macro="" textlink="" fLocksText="0">
      <xdr:nvSpPr>
        <xdr:cNvPr id="48" name="Trapezoid 47"/>
        <xdr:cNvSpPr/>
      </xdr:nvSpPr>
      <xdr:spPr>
        <a:xfrm rot="18900000">
          <a:off x="3822222" y="6660016"/>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3</xdr:col>
      <xdr:colOff>62666</xdr:colOff>
      <xdr:row>23</xdr:row>
      <xdr:rowOff>108650</xdr:rowOff>
    </xdr:from>
    <xdr:to>
      <xdr:col>3</xdr:col>
      <xdr:colOff>811528</xdr:colOff>
      <xdr:row>25</xdr:row>
      <xdr:rowOff>194047</xdr:rowOff>
    </xdr:to>
    <xdr:sp macro="" textlink="" fLocksText="0">
      <xdr:nvSpPr>
        <xdr:cNvPr id="49" name="Trapezoid 48"/>
        <xdr:cNvSpPr/>
      </xdr:nvSpPr>
      <xdr:spPr>
        <a:xfrm rot="8100000">
          <a:off x="2828200" y="5665995"/>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4</xdr:col>
      <xdr:colOff>273009</xdr:colOff>
      <xdr:row>23</xdr:row>
      <xdr:rowOff>1577</xdr:rowOff>
    </xdr:from>
    <xdr:to>
      <xdr:col>4</xdr:col>
      <xdr:colOff>818233</xdr:colOff>
      <xdr:row>26</xdr:row>
      <xdr:rowOff>60698</xdr:rowOff>
    </xdr:to>
    <xdr:sp macro="" textlink="" fLocksText="0">
      <xdr:nvSpPr>
        <xdr:cNvPr id="50" name="Trapezoid 49"/>
        <xdr:cNvSpPr/>
      </xdr:nvSpPr>
      <xdr:spPr>
        <a:xfrm rot="13500000">
          <a:off x="3823535" y="5660741"/>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3</xdr:col>
      <xdr:colOff>165798</xdr:colOff>
      <xdr:row>27</xdr:row>
      <xdr:rowOff>75943</xdr:rowOff>
    </xdr:from>
    <xdr:to>
      <xdr:col>3</xdr:col>
      <xdr:colOff>711022</xdr:colOff>
      <xdr:row>30</xdr:row>
      <xdr:rowOff>135064</xdr:rowOff>
    </xdr:to>
    <xdr:sp macro="" textlink="" fLocksText="0">
      <xdr:nvSpPr>
        <xdr:cNvPr id="51" name="Trapezoid 50"/>
        <xdr:cNvSpPr/>
      </xdr:nvSpPr>
      <xdr:spPr>
        <a:xfrm rot="2700000">
          <a:off x="2829513" y="6654762"/>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5</xdr:col>
      <xdr:colOff>1037897</xdr:colOff>
      <xdr:row>22</xdr:row>
      <xdr:rowOff>124810</xdr:rowOff>
    </xdr:from>
    <xdr:to>
      <xdr:col>6</xdr:col>
      <xdr:colOff>157655</xdr:colOff>
      <xdr:row>24</xdr:row>
      <xdr:rowOff>210206</xdr:rowOff>
    </xdr:to>
    <xdr:sp macro="" textlink="" fLocksText="0">
      <xdr:nvSpPr>
        <xdr:cNvPr id="52" name="Trapezoid 51"/>
        <xdr:cNvSpPr/>
      </xdr:nvSpPr>
      <xdr:spPr>
        <a:xfrm rot="10800000">
          <a:off x="5577052" y="5452241"/>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5</xdr:col>
      <xdr:colOff>1037897</xdr:colOff>
      <xdr:row>28</xdr:row>
      <xdr:rowOff>151086</xdr:rowOff>
    </xdr:from>
    <xdr:to>
      <xdr:col>6</xdr:col>
      <xdr:colOff>157655</xdr:colOff>
      <xdr:row>31</xdr:row>
      <xdr:rowOff>6569</xdr:rowOff>
    </xdr:to>
    <xdr:sp macro="" textlink="" fLocksText="0">
      <xdr:nvSpPr>
        <xdr:cNvPr id="53" name="Trapezoid 52"/>
        <xdr:cNvSpPr/>
      </xdr:nvSpPr>
      <xdr:spPr>
        <a:xfrm>
          <a:off x="5577052" y="6858000"/>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6</xdr:col>
      <xdr:colOff>233199</xdr:colOff>
      <xdr:row>25</xdr:row>
      <xdr:rowOff>36131</xdr:rowOff>
    </xdr:from>
    <xdr:to>
      <xdr:col>6</xdr:col>
      <xdr:colOff>778423</xdr:colOff>
      <xdr:row>28</xdr:row>
      <xdr:rowOff>95251</xdr:rowOff>
    </xdr:to>
    <xdr:sp macro="" textlink="" fLocksText="0">
      <xdr:nvSpPr>
        <xdr:cNvPr id="54" name="Trapezoid 53"/>
        <xdr:cNvSpPr/>
      </xdr:nvSpPr>
      <xdr:spPr>
        <a:xfrm rot="16200000">
          <a:off x="6299639" y="6155122"/>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5</xdr:col>
      <xdr:colOff>456544</xdr:colOff>
      <xdr:row>25</xdr:row>
      <xdr:rowOff>36131</xdr:rowOff>
    </xdr:from>
    <xdr:to>
      <xdr:col>5</xdr:col>
      <xdr:colOff>1001768</xdr:colOff>
      <xdr:row>28</xdr:row>
      <xdr:rowOff>95251</xdr:rowOff>
    </xdr:to>
    <xdr:sp macro="" textlink="" fLocksText="0">
      <xdr:nvSpPr>
        <xdr:cNvPr id="55" name="Trapezoid 54"/>
        <xdr:cNvSpPr/>
      </xdr:nvSpPr>
      <xdr:spPr>
        <a:xfrm rot="5400000">
          <a:off x="4893880" y="6155122"/>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5</xdr:col>
      <xdr:colOff>1555929</xdr:colOff>
      <xdr:row>27</xdr:row>
      <xdr:rowOff>183016</xdr:rowOff>
    </xdr:from>
    <xdr:to>
      <xdr:col>6</xdr:col>
      <xdr:colOff>675687</xdr:colOff>
      <xdr:row>30</xdr:row>
      <xdr:rowOff>38499</xdr:rowOff>
    </xdr:to>
    <xdr:sp macro="" textlink="" fLocksText="0">
      <xdr:nvSpPr>
        <xdr:cNvPr id="56" name="Trapezoid 55"/>
        <xdr:cNvSpPr/>
      </xdr:nvSpPr>
      <xdr:spPr>
        <a:xfrm rot="18900000">
          <a:off x="6095084" y="6660016"/>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5</xdr:col>
      <xdr:colOff>561907</xdr:colOff>
      <xdr:row>23</xdr:row>
      <xdr:rowOff>108650</xdr:rowOff>
    </xdr:from>
    <xdr:to>
      <xdr:col>5</xdr:col>
      <xdr:colOff>1310769</xdr:colOff>
      <xdr:row>25</xdr:row>
      <xdr:rowOff>194047</xdr:rowOff>
    </xdr:to>
    <xdr:sp macro="" textlink="" fLocksText="0">
      <xdr:nvSpPr>
        <xdr:cNvPr id="57" name="Trapezoid 56"/>
        <xdr:cNvSpPr/>
      </xdr:nvSpPr>
      <xdr:spPr>
        <a:xfrm rot="8100000">
          <a:off x="5101062" y="5665995"/>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6</xdr:col>
      <xdr:colOff>29957</xdr:colOff>
      <xdr:row>23</xdr:row>
      <xdr:rowOff>1577</xdr:rowOff>
    </xdr:from>
    <xdr:to>
      <xdr:col>6</xdr:col>
      <xdr:colOff>575181</xdr:colOff>
      <xdr:row>26</xdr:row>
      <xdr:rowOff>60698</xdr:rowOff>
    </xdr:to>
    <xdr:sp macro="" textlink="" fLocksText="0">
      <xdr:nvSpPr>
        <xdr:cNvPr id="58" name="Trapezoid 57"/>
        <xdr:cNvSpPr/>
      </xdr:nvSpPr>
      <xdr:spPr>
        <a:xfrm rot="13500000">
          <a:off x="6096397" y="5660741"/>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5</xdr:col>
      <xdr:colOff>665039</xdr:colOff>
      <xdr:row>27</xdr:row>
      <xdr:rowOff>75943</xdr:rowOff>
    </xdr:from>
    <xdr:to>
      <xdr:col>5</xdr:col>
      <xdr:colOff>1210263</xdr:colOff>
      <xdr:row>30</xdr:row>
      <xdr:rowOff>135064</xdr:rowOff>
    </xdr:to>
    <xdr:sp macro="" textlink="" fLocksText="0">
      <xdr:nvSpPr>
        <xdr:cNvPr id="59" name="Trapezoid 58"/>
        <xdr:cNvSpPr/>
      </xdr:nvSpPr>
      <xdr:spPr>
        <a:xfrm rot="2700000">
          <a:off x="5102375" y="6654762"/>
          <a:ext cx="748862" cy="545224"/>
        </a:xfrm>
        <a:prstGeom prst="trapezoid">
          <a:avLst>
            <a:gd name="adj" fmla="val 466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0</a:t>
          </a:r>
        </a:p>
      </xdr:txBody>
    </xdr:sp>
    <xdr:clientData fLocksWithSheet="0"/>
  </xdr:twoCellAnchor>
  <xdr:twoCellAnchor>
    <xdr:from>
      <xdr:col>1</xdr:col>
      <xdr:colOff>911087</xdr:colOff>
      <xdr:row>34</xdr:row>
      <xdr:rowOff>99391</xdr:rowOff>
    </xdr:from>
    <xdr:to>
      <xdr:col>6</xdr:col>
      <xdr:colOff>323023</xdr:colOff>
      <xdr:row>36</xdr:row>
      <xdr:rowOff>223630</xdr:rowOff>
    </xdr:to>
    <xdr:sp macro="" textlink="">
      <xdr:nvSpPr>
        <xdr:cNvPr id="3" name="Rounded Rectangle 2"/>
        <xdr:cNvSpPr/>
      </xdr:nvSpPr>
      <xdr:spPr>
        <a:xfrm>
          <a:off x="977348" y="7247282"/>
          <a:ext cx="5516218" cy="588065"/>
        </a:xfrm>
        <a:prstGeom prst="roundRect">
          <a:avLst>
            <a:gd name="adj" fmla="val 50000"/>
          </a:avLst>
        </a:prstGeom>
        <a:noFill/>
        <a:ln w="444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621196</xdr:colOff>
      <xdr:row>34</xdr:row>
      <xdr:rowOff>207065</xdr:rowOff>
    </xdr:from>
    <xdr:to>
      <xdr:col>4</xdr:col>
      <xdr:colOff>339588</xdr:colOff>
      <xdr:row>35</xdr:row>
      <xdr:rowOff>132521</xdr:rowOff>
    </xdr:to>
    <xdr:sp macro="" textlink="">
      <xdr:nvSpPr>
        <xdr:cNvPr id="36" name="Rounded Rectangle 35"/>
        <xdr:cNvSpPr/>
      </xdr:nvSpPr>
      <xdr:spPr>
        <a:xfrm>
          <a:off x="3387587" y="7354956"/>
          <a:ext cx="604631" cy="157369"/>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621196</xdr:colOff>
      <xdr:row>35</xdr:row>
      <xdr:rowOff>198782</xdr:rowOff>
    </xdr:from>
    <xdr:to>
      <xdr:col>4</xdr:col>
      <xdr:colOff>339588</xdr:colOff>
      <xdr:row>36</xdr:row>
      <xdr:rowOff>124238</xdr:rowOff>
    </xdr:to>
    <xdr:sp macro="" textlink="">
      <xdr:nvSpPr>
        <xdr:cNvPr id="37" name="Rounded Rectangle 36"/>
        <xdr:cNvSpPr/>
      </xdr:nvSpPr>
      <xdr:spPr>
        <a:xfrm>
          <a:off x="3387587" y="7578586"/>
          <a:ext cx="604631" cy="157369"/>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861391</xdr:colOff>
      <xdr:row>34</xdr:row>
      <xdr:rowOff>207065</xdr:rowOff>
    </xdr:from>
    <xdr:to>
      <xdr:col>5</xdr:col>
      <xdr:colOff>579782</xdr:colOff>
      <xdr:row>35</xdr:row>
      <xdr:rowOff>132521</xdr:rowOff>
    </xdr:to>
    <xdr:sp macro="" textlink="">
      <xdr:nvSpPr>
        <xdr:cNvPr id="42" name="Rounded Rectangle 41"/>
        <xdr:cNvSpPr/>
      </xdr:nvSpPr>
      <xdr:spPr>
        <a:xfrm>
          <a:off x="4514021" y="7354956"/>
          <a:ext cx="604631" cy="157369"/>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861391</xdr:colOff>
      <xdr:row>35</xdr:row>
      <xdr:rowOff>198782</xdr:rowOff>
    </xdr:from>
    <xdr:to>
      <xdr:col>5</xdr:col>
      <xdr:colOff>579782</xdr:colOff>
      <xdr:row>36</xdr:row>
      <xdr:rowOff>124238</xdr:rowOff>
    </xdr:to>
    <xdr:sp macro="" textlink="">
      <xdr:nvSpPr>
        <xdr:cNvPr id="43" name="Rounded Rectangle 42"/>
        <xdr:cNvSpPr/>
      </xdr:nvSpPr>
      <xdr:spPr>
        <a:xfrm>
          <a:off x="4514021" y="7578586"/>
          <a:ext cx="604631" cy="157369"/>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1010477</xdr:colOff>
      <xdr:row>34</xdr:row>
      <xdr:rowOff>207065</xdr:rowOff>
    </xdr:from>
    <xdr:to>
      <xdr:col>5</xdr:col>
      <xdr:colOff>1615108</xdr:colOff>
      <xdr:row>35</xdr:row>
      <xdr:rowOff>132521</xdr:rowOff>
    </xdr:to>
    <xdr:sp macro="" textlink="">
      <xdr:nvSpPr>
        <xdr:cNvPr id="60" name="Rounded Rectangle 59"/>
        <xdr:cNvSpPr/>
      </xdr:nvSpPr>
      <xdr:spPr>
        <a:xfrm>
          <a:off x="5549347" y="7354956"/>
          <a:ext cx="604631" cy="157369"/>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1010477</xdr:colOff>
      <xdr:row>35</xdr:row>
      <xdr:rowOff>198782</xdr:rowOff>
    </xdr:from>
    <xdr:to>
      <xdr:col>5</xdr:col>
      <xdr:colOff>1615108</xdr:colOff>
      <xdr:row>36</xdr:row>
      <xdr:rowOff>124238</xdr:rowOff>
    </xdr:to>
    <xdr:sp macro="" textlink="">
      <xdr:nvSpPr>
        <xdr:cNvPr id="61" name="Rounded Rectangle 60"/>
        <xdr:cNvSpPr/>
      </xdr:nvSpPr>
      <xdr:spPr>
        <a:xfrm>
          <a:off x="5549347" y="7578586"/>
          <a:ext cx="604631" cy="157369"/>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513521</xdr:colOff>
      <xdr:row>34</xdr:row>
      <xdr:rowOff>207065</xdr:rowOff>
    </xdr:from>
    <xdr:to>
      <xdr:col>3</xdr:col>
      <xdr:colOff>140804</xdr:colOff>
      <xdr:row>35</xdr:row>
      <xdr:rowOff>132521</xdr:rowOff>
    </xdr:to>
    <xdr:sp macro="" textlink="">
      <xdr:nvSpPr>
        <xdr:cNvPr id="62" name="Rounded Rectangle 61"/>
        <xdr:cNvSpPr/>
      </xdr:nvSpPr>
      <xdr:spPr>
        <a:xfrm>
          <a:off x="2302564" y="7354956"/>
          <a:ext cx="604631" cy="157369"/>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513521</xdr:colOff>
      <xdr:row>35</xdr:row>
      <xdr:rowOff>198782</xdr:rowOff>
    </xdr:from>
    <xdr:to>
      <xdr:col>3</xdr:col>
      <xdr:colOff>140804</xdr:colOff>
      <xdr:row>36</xdr:row>
      <xdr:rowOff>124238</xdr:rowOff>
    </xdr:to>
    <xdr:sp macro="" textlink="">
      <xdr:nvSpPr>
        <xdr:cNvPr id="63" name="Rounded Rectangle 62"/>
        <xdr:cNvSpPr/>
      </xdr:nvSpPr>
      <xdr:spPr>
        <a:xfrm>
          <a:off x="2302564" y="7578586"/>
          <a:ext cx="604631" cy="157369"/>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1217542</xdr:colOff>
      <xdr:row>34</xdr:row>
      <xdr:rowOff>207065</xdr:rowOff>
    </xdr:from>
    <xdr:to>
      <xdr:col>2</xdr:col>
      <xdr:colOff>99391</xdr:colOff>
      <xdr:row>35</xdr:row>
      <xdr:rowOff>132521</xdr:rowOff>
    </xdr:to>
    <xdr:sp macro="" textlink="">
      <xdr:nvSpPr>
        <xdr:cNvPr id="64" name="Rounded Rectangle 63"/>
        <xdr:cNvSpPr/>
      </xdr:nvSpPr>
      <xdr:spPr>
        <a:xfrm>
          <a:off x="1283803" y="7354956"/>
          <a:ext cx="604631" cy="157369"/>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1217542</xdr:colOff>
      <xdr:row>35</xdr:row>
      <xdr:rowOff>198782</xdr:rowOff>
    </xdr:from>
    <xdr:to>
      <xdr:col>2</xdr:col>
      <xdr:colOff>99391</xdr:colOff>
      <xdr:row>36</xdr:row>
      <xdr:rowOff>124238</xdr:rowOff>
    </xdr:to>
    <xdr:sp macro="" textlink="">
      <xdr:nvSpPr>
        <xdr:cNvPr id="65" name="Rounded Rectangle 64"/>
        <xdr:cNvSpPr/>
      </xdr:nvSpPr>
      <xdr:spPr>
        <a:xfrm>
          <a:off x="1283803" y="7578586"/>
          <a:ext cx="604631" cy="157369"/>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621196</xdr:colOff>
      <xdr:row>39</xdr:row>
      <xdr:rowOff>124245</xdr:rowOff>
    </xdr:from>
    <xdr:to>
      <xdr:col>4</xdr:col>
      <xdr:colOff>339588</xdr:colOff>
      <xdr:row>40</xdr:row>
      <xdr:rowOff>49702</xdr:rowOff>
    </xdr:to>
    <xdr:sp macro="" textlink="">
      <xdr:nvSpPr>
        <xdr:cNvPr id="67" name="Rounded Rectangle 66"/>
        <xdr:cNvSpPr/>
      </xdr:nvSpPr>
      <xdr:spPr>
        <a:xfrm>
          <a:off x="3387587" y="8431702"/>
          <a:ext cx="604631" cy="157370"/>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621196</xdr:colOff>
      <xdr:row>40</xdr:row>
      <xdr:rowOff>115963</xdr:rowOff>
    </xdr:from>
    <xdr:to>
      <xdr:col>4</xdr:col>
      <xdr:colOff>339588</xdr:colOff>
      <xdr:row>41</xdr:row>
      <xdr:rowOff>41419</xdr:rowOff>
    </xdr:to>
    <xdr:sp macro="" textlink="">
      <xdr:nvSpPr>
        <xdr:cNvPr id="68" name="Rounded Rectangle 67"/>
        <xdr:cNvSpPr/>
      </xdr:nvSpPr>
      <xdr:spPr>
        <a:xfrm>
          <a:off x="3387587" y="8655333"/>
          <a:ext cx="604631" cy="157369"/>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861391</xdr:colOff>
      <xdr:row>39</xdr:row>
      <xdr:rowOff>124245</xdr:rowOff>
    </xdr:from>
    <xdr:to>
      <xdr:col>5</xdr:col>
      <xdr:colOff>579782</xdr:colOff>
      <xdr:row>40</xdr:row>
      <xdr:rowOff>49702</xdr:rowOff>
    </xdr:to>
    <xdr:sp macro="" textlink="">
      <xdr:nvSpPr>
        <xdr:cNvPr id="69" name="Rounded Rectangle 68"/>
        <xdr:cNvSpPr/>
      </xdr:nvSpPr>
      <xdr:spPr>
        <a:xfrm>
          <a:off x="4514021" y="8431702"/>
          <a:ext cx="604631" cy="157370"/>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861391</xdr:colOff>
      <xdr:row>40</xdr:row>
      <xdr:rowOff>115963</xdr:rowOff>
    </xdr:from>
    <xdr:to>
      <xdr:col>5</xdr:col>
      <xdr:colOff>579782</xdr:colOff>
      <xdr:row>41</xdr:row>
      <xdr:rowOff>41419</xdr:rowOff>
    </xdr:to>
    <xdr:sp macro="" textlink="">
      <xdr:nvSpPr>
        <xdr:cNvPr id="70" name="Rounded Rectangle 69"/>
        <xdr:cNvSpPr/>
      </xdr:nvSpPr>
      <xdr:spPr>
        <a:xfrm>
          <a:off x="4514021" y="8655333"/>
          <a:ext cx="604631" cy="157369"/>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513521</xdr:colOff>
      <xdr:row>39</xdr:row>
      <xdr:rowOff>124245</xdr:rowOff>
    </xdr:from>
    <xdr:to>
      <xdr:col>3</xdr:col>
      <xdr:colOff>140804</xdr:colOff>
      <xdr:row>40</xdr:row>
      <xdr:rowOff>49702</xdr:rowOff>
    </xdr:to>
    <xdr:sp macro="" textlink="">
      <xdr:nvSpPr>
        <xdr:cNvPr id="73" name="Rounded Rectangle 72"/>
        <xdr:cNvSpPr/>
      </xdr:nvSpPr>
      <xdr:spPr>
        <a:xfrm>
          <a:off x="2302564" y="8431702"/>
          <a:ext cx="604631" cy="157370"/>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513521</xdr:colOff>
      <xdr:row>40</xdr:row>
      <xdr:rowOff>115963</xdr:rowOff>
    </xdr:from>
    <xdr:to>
      <xdr:col>3</xdr:col>
      <xdr:colOff>140804</xdr:colOff>
      <xdr:row>41</xdr:row>
      <xdr:rowOff>41419</xdr:rowOff>
    </xdr:to>
    <xdr:sp macro="" textlink="">
      <xdr:nvSpPr>
        <xdr:cNvPr id="74" name="Rounded Rectangle 73"/>
        <xdr:cNvSpPr/>
      </xdr:nvSpPr>
      <xdr:spPr>
        <a:xfrm>
          <a:off x="2302564" y="8655333"/>
          <a:ext cx="604631" cy="157369"/>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1217542</xdr:colOff>
      <xdr:row>39</xdr:row>
      <xdr:rowOff>124245</xdr:rowOff>
    </xdr:from>
    <xdr:to>
      <xdr:col>2</xdr:col>
      <xdr:colOff>99391</xdr:colOff>
      <xdr:row>40</xdr:row>
      <xdr:rowOff>49702</xdr:rowOff>
    </xdr:to>
    <xdr:sp macro="" textlink="">
      <xdr:nvSpPr>
        <xdr:cNvPr id="75" name="Rounded Rectangle 74"/>
        <xdr:cNvSpPr/>
      </xdr:nvSpPr>
      <xdr:spPr>
        <a:xfrm>
          <a:off x="1283803" y="8431702"/>
          <a:ext cx="604631" cy="157370"/>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1217542</xdr:colOff>
      <xdr:row>40</xdr:row>
      <xdr:rowOff>115963</xdr:rowOff>
    </xdr:from>
    <xdr:to>
      <xdr:col>2</xdr:col>
      <xdr:colOff>99391</xdr:colOff>
      <xdr:row>41</xdr:row>
      <xdr:rowOff>41419</xdr:rowOff>
    </xdr:to>
    <xdr:sp macro="" textlink="">
      <xdr:nvSpPr>
        <xdr:cNvPr id="76" name="Rounded Rectangle 75"/>
        <xdr:cNvSpPr/>
      </xdr:nvSpPr>
      <xdr:spPr>
        <a:xfrm>
          <a:off x="1283803" y="8655333"/>
          <a:ext cx="604631" cy="157369"/>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911087</xdr:colOff>
      <xdr:row>39</xdr:row>
      <xdr:rowOff>16572</xdr:rowOff>
    </xdr:from>
    <xdr:to>
      <xdr:col>6</xdr:col>
      <xdr:colOff>323023</xdr:colOff>
      <xdr:row>41</xdr:row>
      <xdr:rowOff>140811</xdr:rowOff>
    </xdr:to>
    <xdr:sp macro="" textlink="">
      <xdr:nvSpPr>
        <xdr:cNvPr id="77" name="Rounded Rectangle 76"/>
        <xdr:cNvSpPr/>
      </xdr:nvSpPr>
      <xdr:spPr>
        <a:xfrm>
          <a:off x="977348" y="8324029"/>
          <a:ext cx="5516218" cy="588065"/>
        </a:xfrm>
        <a:prstGeom prst="roundRect">
          <a:avLst>
            <a:gd name="adj" fmla="val 50000"/>
          </a:avLst>
        </a:prstGeom>
        <a:noFill/>
        <a:ln w="444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844822</xdr:colOff>
      <xdr:row>37</xdr:row>
      <xdr:rowOff>91109</xdr:rowOff>
    </xdr:from>
    <xdr:to>
      <xdr:col>2</xdr:col>
      <xdr:colOff>571512</xdr:colOff>
      <xdr:row>38</xdr:row>
      <xdr:rowOff>132522</xdr:rowOff>
    </xdr:to>
    <xdr:sp macro="" textlink="">
      <xdr:nvSpPr>
        <xdr:cNvPr id="81" name="TextBox 80"/>
        <xdr:cNvSpPr txBox="1"/>
      </xdr:nvSpPr>
      <xdr:spPr>
        <a:xfrm>
          <a:off x="911083" y="8034131"/>
          <a:ext cx="1449472"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2400" b="1"/>
            <a:t>Forward</a:t>
          </a:r>
        </a:p>
      </xdr:txBody>
    </xdr:sp>
    <xdr:clientData/>
  </xdr:twoCellAnchor>
  <xdr:twoCellAnchor>
    <xdr:from>
      <xdr:col>5</xdr:col>
      <xdr:colOff>1408046</xdr:colOff>
      <xdr:row>37</xdr:row>
      <xdr:rowOff>91109</xdr:rowOff>
    </xdr:from>
    <xdr:to>
      <xdr:col>6</xdr:col>
      <xdr:colOff>397570</xdr:colOff>
      <xdr:row>38</xdr:row>
      <xdr:rowOff>132522</xdr:rowOff>
    </xdr:to>
    <xdr:sp macro="" textlink="">
      <xdr:nvSpPr>
        <xdr:cNvPr id="82" name="TextBox 81"/>
        <xdr:cNvSpPr txBox="1"/>
      </xdr:nvSpPr>
      <xdr:spPr>
        <a:xfrm>
          <a:off x="5946916" y="8034131"/>
          <a:ext cx="621197" cy="273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2400" b="1"/>
            <a:t>Aft</a:t>
          </a:r>
        </a:p>
      </xdr:txBody>
    </xdr:sp>
    <xdr:clientData/>
  </xdr:twoCellAnchor>
  <xdr:twoCellAnchor>
    <xdr:from>
      <xdr:col>5</xdr:col>
      <xdr:colOff>1002194</xdr:colOff>
      <xdr:row>39</xdr:row>
      <xdr:rowOff>124245</xdr:rowOff>
    </xdr:from>
    <xdr:to>
      <xdr:col>5</xdr:col>
      <xdr:colOff>1606825</xdr:colOff>
      <xdr:row>40</xdr:row>
      <xdr:rowOff>49702</xdr:rowOff>
    </xdr:to>
    <xdr:sp macro="" textlink="">
      <xdr:nvSpPr>
        <xdr:cNvPr id="89" name="Rounded Rectangle 88"/>
        <xdr:cNvSpPr/>
      </xdr:nvSpPr>
      <xdr:spPr>
        <a:xfrm>
          <a:off x="5541064" y="8431702"/>
          <a:ext cx="604631" cy="157370"/>
        </a:xfrm>
        <a:prstGeom prst="roundRect">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1002194</xdr:colOff>
      <xdr:row>40</xdr:row>
      <xdr:rowOff>115963</xdr:rowOff>
    </xdr:from>
    <xdr:to>
      <xdr:col>5</xdr:col>
      <xdr:colOff>1606825</xdr:colOff>
      <xdr:row>41</xdr:row>
      <xdr:rowOff>41419</xdr:rowOff>
    </xdr:to>
    <xdr:sp macro="" textlink="">
      <xdr:nvSpPr>
        <xdr:cNvPr id="90" name="Rounded Rectangle 89"/>
        <xdr:cNvSpPr/>
      </xdr:nvSpPr>
      <xdr:spPr>
        <a:xfrm>
          <a:off x="5541064" y="8655333"/>
          <a:ext cx="604631" cy="157369"/>
        </a:xfrm>
        <a:prstGeom prst="round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0</xdr:row>
      <xdr:rowOff>0</xdr:rowOff>
    </xdr:from>
    <xdr:to>
      <xdr:col>2</xdr:col>
      <xdr:colOff>952500</xdr:colOff>
      <xdr:row>2</xdr:row>
      <xdr:rowOff>137922</xdr:rowOff>
    </xdr:to>
    <xdr:pic>
      <xdr:nvPicPr>
        <xdr:cNvPr id="71" name="Picture 7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43200" cy="652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1093305</xdr:colOff>
      <xdr:row>9</xdr:row>
      <xdr:rowOff>116885</xdr:rowOff>
    </xdr:from>
    <xdr:to>
      <xdr:col>3</xdr:col>
      <xdr:colOff>450687</xdr:colOff>
      <xdr:row>9</xdr:row>
      <xdr:rowOff>124239</xdr:rowOff>
    </xdr:to>
    <xdr:cxnSp macro="">
      <xdr:nvCxnSpPr>
        <xdr:cNvPr id="16" name="Straight Connector 15"/>
        <xdr:cNvCxnSpPr>
          <a:stCxn id="10" idx="0"/>
        </xdr:cNvCxnSpPr>
      </xdr:nvCxnSpPr>
      <xdr:spPr>
        <a:xfrm flipH="1">
          <a:off x="4282109" y="2046733"/>
          <a:ext cx="765426" cy="73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740020</xdr:colOff>
      <xdr:row>7</xdr:row>
      <xdr:rowOff>124558</xdr:rowOff>
    </xdr:from>
    <xdr:to>
      <xdr:col>3</xdr:col>
      <xdr:colOff>914592</xdr:colOff>
      <xdr:row>12</xdr:row>
      <xdr:rowOff>156098</xdr:rowOff>
    </xdr:to>
    <xdr:grpSp>
      <xdr:nvGrpSpPr>
        <xdr:cNvPr id="3" name="Group 2"/>
        <xdr:cNvGrpSpPr/>
      </xdr:nvGrpSpPr>
      <xdr:grpSpPr>
        <a:xfrm>
          <a:off x="740020" y="1715233"/>
          <a:ext cx="4775147" cy="850690"/>
          <a:chOff x="7093415" y="2758108"/>
          <a:chExt cx="5026204" cy="844828"/>
        </a:xfrm>
      </xdr:grpSpPr>
      <xdr:sp macro="" textlink="">
        <xdr:nvSpPr>
          <xdr:cNvPr id="4" name="Oval 3"/>
          <xdr:cNvSpPr/>
        </xdr:nvSpPr>
        <xdr:spPr>
          <a:xfrm>
            <a:off x="9637452" y="3056284"/>
            <a:ext cx="1822175" cy="546652"/>
          </a:xfrm>
          <a:prstGeom prst="ellipse">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Oval 4"/>
          <xdr:cNvSpPr/>
        </xdr:nvSpPr>
        <xdr:spPr>
          <a:xfrm>
            <a:off x="7093415" y="3056283"/>
            <a:ext cx="836544" cy="546652"/>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Rectangle 5"/>
          <xdr:cNvSpPr/>
        </xdr:nvSpPr>
        <xdr:spPr>
          <a:xfrm>
            <a:off x="7507546" y="3056283"/>
            <a:ext cx="1109869"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Forward Hull</a:t>
            </a:r>
          </a:p>
        </xdr:txBody>
      </xdr:sp>
      <xdr:sp macro="" textlink="">
        <xdr:nvSpPr>
          <xdr:cNvPr id="8" name="Rectangle 7"/>
          <xdr:cNvSpPr/>
        </xdr:nvSpPr>
        <xdr:spPr>
          <a:xfrm>
            <a:off x="9460011" y="3056283"/>
            <a:ext cx="1187920"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Aft Hull</a:t>
            </a:r>
          </a:p>
        </xdr:txBody>
      </xdr:sp>
      <xdr:sp macro="" textlink="">
        <xdr:nvSpPr>
          <xdr:cNvPr id="9" name="Rectangle 8"/>
          <xdr:cNvSpPr/>
        </xdr:nvSpPr>
        <xdr:spPr>
          <a:xfrm>
            <a:off x="8613912" y="3056283"/>
            <a:ext cx="836543"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Science Bay</a:t>
            </a:r>
          </a:p>
        </xdr:txBody>
      </xdr:sp>
      <xdr:sp macro="" textlink="">
        <xdr:nvSpPr>
          <xdr:cNvPr id="10" name="Freeform 9"/>
          <xdr:cNvSpPr/>
        </xdr:nvSpPr>
        <xdr:spPr>
          <a:xfrm>
            <a:off x="11630944" y="2758108"/>
            <a:ext cx="488675" cy="347869"/>
          </a:xfrm>
          <a:custGeom>
            <a:avLst/>
            <a:gdLst>
              <a:gd name="connsiteX0" fmla="*/ 0 w 488674"/>
              <a:gd name="connsiteY0" fmla="*/ 323022 h 347869"/>
              <a:gd name="connsiteX1" fmla="*/ 165652 w 488674"/>
              <a:gd name="connsiteY1" fmla="*/ 0 h 347869"/>
              <a:gd name="connsiteX2" fmla="*/ 488674 w 488674"/>
              <a:gd name="connsiteY2" fmla="*/ 0 h 347869"/>
              <a:gd name="connsiteX3" fmla="*/ 422413 w 488674"/>
              <a:gd name="connsiteY3" fmla="*/ 347869 h 347869"/>
              <a:gd name="connsiteX4" fmla="*/ 0 w 488674"/>
              <a:gd name="connsiteY4" fmla="*/ 323022 h 3478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88674" h="347869">
                <a:moveTo>
                  <a:pt x="0" y="323022"/>
                </a:moveTo>
                <a:lnTo>
                  <a:pt x="165652" y="0"/>
                </a:lnTo>
                <a:lnTo>
                  <a:pt x="488674" y="0"/>
                </a:lnTo>
                <a:lnTo>
                  <a:pt x="422413" y="347869"/>
                </a:lnTo>
                <a:lnTo>
                  <a:pt x="0" y="323022"/>
                </a:lnTo>
                <a:close/>
              </a:path>
            </a:pathLst>
          </a:cu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0</xdr:colOff>
      <xdr:row>0</xdr:row>
      <xdr:rowOff>0</xdr:rowOff>
    </xdr:from>
    <xdr:to>
      <xdr:col>1</xdr:col>
      <xdr:colOff>895350</xdr:colOff>
      <xdr:row>2</xdr:row>
      <xdr:rowOff>137922</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43200" cy="652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1093305</xdr:colOff>
      <xdr:row>9</xdr:row>
      <xdr:rowOff>116885</xdr:rowOff>
    </xdr:from>
    <xdr:to>
      <xdr:col>3</xdr:col>
      <xdr:colOff>450687</xdr:colOff>
      <xdr:row>9</xdr:row>
      <xdr:rowOff>124239</xdr:rowOff>
    </xdr:to>
    <xdr:cxnSp macro="">
      <xdr:nvCxnSpPr>
        <xdr:cNvPr id="3" name="Straight Connector 2"/>
        <xdr:cNvCxnSpPr>
          <a:stCxn id="10" idx="0"/>
        </xdr:cNvCxnSpPr>
      </xdr:nvCxnSpPr>
      <xdr:spPr>
        <a:xfrm flipH="1">
          <a:off x="4284180" y="2040935"/>
          <a:ext cx="767082" cy="73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740020</xdr:colOff>
      <xdr:row>7</xdr:row>
      <xdr:rowOff>124558</xdr:rowOff>
    </xdr:from>
    <xdr:to>
      <xdr:col>3</xdr:col>
      <xdr:colOff>914592</xdr:colOff>
      <xdr:row>12</xdr:row>
      <xdr:rowOff>156098</xdr:rowOff>
    </xdr:to>
    <xdr:grpSp>
      <xdr:nvGrpSpPr>
        <xdr:cNvPr id="4" name="Group 3"/>
        <xdr:cNvGrpSpPr/>
      </xdr:nvGrpSpPr>
      <xdr:grpSpPr>
        <a:xfrm>
          <a:off x="740020" y="1696183"/>
          <a:ext cx="4765622" cy="850690"/>
          <a:chOff x="7093415" y="2758108"/>
          <a:chExt cx="5026204" cy="844828"/>
        </a:xfrm>
      </xdr:grpSpPr>
      <xdr:sp macro="" textlink="">
        <xdr:nvSpPr>
          <xdr:cNvPr id="5" name="Oval 4"/>
          <xdr:cNvSpPr/>
        </xdr:nvSpPr>
        <xdr:spPr>
          <a:xfrm>
            <a:off x="9637452" y="3056284"/>
            <a:ext cx="1822175" cy="546652"/>
          </a:xfrm>
          <a:prstGeom prst="ellipse">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Oval 5"/>
          <xdr:cNvSpPr/>
        </xdr:nvSpPr>
        <xdr:spPr>
          <a:xfrm>
            <a:off x="7093415" y="3056283"/>
            <a:ext cx="836544" cy="546652"/>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xdr:cNvSpPr/>
        </xdr:nvSpPr>
        <xdr:spPr>
          <a:xfrm>
            <a:off x="7507546" y="3056283"/>
            <a:ext cx="1109869"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Forward Hull</a:t>
            </a:r>
          </a:p>
        </xdr:txBody>
      </xdr:sp>
      <xdr:sp macro="" textlink="">
        <xdr:nvSpPr>
          <xdr:cNvPr id="8" name="Rectangle 7"/>
          <xdr:cNvSpPr/>
        </xdr:nvSpPr>
        <xdr:spPr>
          <a:xfrm>
            <a:off x="9460011" y="3056283"/>
            <a:ext cx="1187920"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Aft Hull</a:t>
            </a:r>
          </a:p>
        </xdr:txBody>
      </xdr:sp>
      <xdr:sp macro="" textlink="">
        <xdr:nvSpPr>
          <xdr:cNvPr id="9" name="Rectangle 8"/>
          <xdr:cNvSpPr/>
        </xdr:nvSpPr>
        <xdr:spPr>
          <a:xfrm>
            <a:off x="8613912" y="3056283"/>
            <a:ext cx="836543"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Science Bay</a:t>
            </a:r>
          </a:p>
        </xdr:txBody>
      </xdr:sp>
      <xdr:sp macro="" textlink="">
        <xdr:nvSpPr>
          <xdr:cNvPr id="10" name="Freeform 9"/>
          <xdr:cNvSpPr/>
        </xdr:nvSpPr>
        <xdr:spPr>
          <a:xfrm>
            <a:off x="11630944" y="2758108"/>
            <a:ext cx="488675" cy="347869"/>
          </a:xfrm>
          <a:custGeom>
            <a:avLst/>
            <a:gdLst>
              <a:gd name="connsiteX0" fmla="*/ 0 w 488674"/>
              <a:gd name="connsiteY0" fmla="*/ 323022 h 347869"/>
              <a:gd name="connsiteX1" fmla="*/ 165652 w 488674"/>
              <a:gd name="connsiteY1" fmla="*/ 0 h 347869"/>
              <a:gd name="connsiteX2" fmla="*/ 488674 w 488674"/>
              <a:gd name="connsiteY2" fmla="*/ 0 h 347869"/>
              <a:gd name="connsiteX3" fmla="*/ 422413 w 488674"/>
              <a:gd name="connsiteY3" fmla="*/ 347869 h 347869"/>
              <a:gd name="connsiteX4" fmla="*/ 0 w 488674"/>
              <a:gd name="connsiteY4" fmla="*/ 323022 h 3478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88674" h="347869">
                <a:moveTo>
                  <a:pt x="0" y="323022"/>
                </a:moveTo>
                <a:lnTo>
                  <a:pt x="165652" y="0"/>
                </a:lnTo>
                <a:lnTo>
                  <a:pt x="488674" y="0"/>
                </a:lnTo>
                <a:lnTo>
                  <a:pt x="422413" y="347869"/>
                </a:lnTo>
                <a:lnTo>
                  <a:pt x="0" y="323022"/>
                </a:lnTo>
                <a:close/>
              </a:path>
            </a:pathLst>
          </a:cu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0</xdr:colOff>
      <xdr:row>0</xdr:row>
      <xdr:rowOff>0</xdr:rowOff>
    </xdr:from>
    <xdr:to>
      <xdr:col>1</xdr:col>
      <xdr:colOff>895350</xdr:colOff>
      <xdr:row>2</xdr:row>
      <xdr:rowOff>137922</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43200" cy="6522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740019</xdr:colOff>
      <xdr:row>7</xdr:row>
      <xdr:rowOff>124558</xdr:rowOff>
    </xdr:from>
    <xdr:to>
      <xdr:col>3</xdr:col>
      <xdr:colOff>343091</xdr:colOff>
      <xdr:row>12</xdr:row>
      <xdr:rowOff>156098</xdr:rowOff>
    </xdr:to>
    <xdr:grpSp>
      <xdr:nvGrpSpPr>
        <xdr:cNvPr id="3" name="Group 2"/>
        <xdr:cNvGrpSpPr/>
      </xdr:nvGrpSpPr>
      <xdr:grpSpPr>
        <a:xfrm>
          <a:off x="740019" y="1696183"/>
          <a:ext cx="4422722" cy="850690"/>
          <a:chOff x="7093415" y="2758108"/>
          <a:chExt cx="4424187" cy="844828"/>
        </a:xfrm>
      </xdr:grpSpPr>
      <xdr:sp macro="" textlink="">
        <xdr:nvSpPr>
          <xdr:cNvPr id="4" name="Oval 3"/>
          <xdr:cNvSpPr/>
        </xdr:nvSpPr>
        <xdr:spPr>
          <a:xfrm>
            <a:off x="9637452" y="3056284"/>
            <a:ext cx="1822175" cy="546652"/>
          </a:xfrm>
          <a:prstGeom prst="ellipse">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Oval 4"/>
          <xdr:cNvSpPr/>
        </xdr:nvSpPr>
        <xdr:spPr>
          <a:xfrm>
            <a:off x="7093415" y="3056283"/>
            <a:ext cx="836544" cy="546652"/>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xdr:cNvSpPr/>
        </xdr:nvSpPr>
        <xdr:spPr>
          <a:xfrm>
            <a:off x="7507546" y="3056283"/>
            <a:ext cx="1109869"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Forward Hull</a:t>
            </a:r>
          </a:p>
        </xdr:txBody>
      </xdr:sp>
      <xdr:sp macro="" textlink="">
        <xdr:nvSpPr>
          <xdr:cNvPr id="8" name="Rectangle 7"/>
          <xdr:cNvSpPr/>
        </xdr:nvSpPr>
        <xdr:spPr>
          <a:xfrm>
            <a:off x="9460011" y="3056283"/>
            <a:ext cx="1187920"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Aft Hull</a:t>
            </a:r>
          </a:p>
        </xdr:txBody>
      </xdr:sp>
      <xdr:sp macro="" textlink="">
        <xdr:nvSpPr>
          <xdr:cNvPr id="9" name="Rectangle 8"/>
          <xdr:cNvSpPr/>
        </xdr:nvSpPr>
        <xdr:spPr>
          <a:xfrm>
            <a:off x="8613912" y="3056283"/>
            <a:ext cx="836543"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Science Bay</a:t>
            </a:r>
          </a:p>
        </xdr:txBody>
      </xdr:sp>
      <xdr:sp macro="" textlink="">
        <xdr:nvSpPr>
          <xdr:cNvPr id="10" name="Freeform 9"/>
          <xdr:cNvSpPr/>
        </xdr:nvSpPr>
        <xdr:spPr>
          <a:xfrm>
            <a:off x="11028928" y="2758108"/>
            <a:ext cx="488674" cy="347869"/>
          </a:xfrm>
          <a:custGeom>
            <a:avLst/>
            <a:gdLst>
              <a:gd name="connsiteX0" fmla="*/ 0 w 488674"/>
              <a:gd name="connsiteY0" fmla="*/ 323022 h 347869"/>
              <a:gd name="connsiteX1" fmla="*/ 165652 w 488674"/>
              <a:gd name="connsiteY1" fmla="*/ 0 h 347869"/>
              <a:gd name="connsiteX2" fmla="*/ 488674 w 488674"/>
              <a:gd name="connsiteY2" fmla="*/ 0 h 347869"/>
              <a:gd name="connsiteX3" fmla="*/ 422413 w 488674"/>
              <a:gd name="connsiteY3" fmla="*/ 347869 h 347869"/>
              <a:gd name="connsiteX4" fmla="*/ 0 w 488674"/>
              <a:gd name="connsiteY4" fmla="*/ 323022 h 3478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88674" h="347869">
                <a:moveTo>
                  <a:pt x="0" y="323022"/>
                </a:moveTo>
                <a:lnTo>
                  <a:pt x="165652" y="0"/>
                </a:lnTo>
                <a:lnTo>
                  <a:pt x="488674" y="0"/>
                </a:lnTo>
                <a:lnTo>
                  <a:pt x="422413" y="347869"/>
                </a:lnTo>
                <a:lnTo>
                  <a:pt x="0" y="323022"/>
                </a:lnTo>
                <a:close/>
              </a:path>
            </a:pathLst>
          </a:cu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0</xdr:colOff>
      <xdr:row>0</xdr:row>
      <xdr:rowOff>0</xdr:rowOff>
    </xdr:from>
    <xdr:to>
      <xdr:col>1</xdr:col>
      <xdr:colOff>666750</xdr:colOff>
      <xdr:row>2</xdr:row>
      <xdr:rowOff>137922</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43200" cy="6522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578825</xdr:colOff>
      <xdr:row>7</xdr:row>
      <xdr:rowOff>131883</xdr:rowOff>
    </xdr:from>
    <xdr:to>
      <xdr:col>3</xdr:col>
      <xdr:colOff>511609</xdr:colOff>
      <xdr:row>12</xdr:row>
      <xdr:rowOff>156096</xdr:rowOff>
    </xdr:to>
    <xdr:grpSp>
      <xdr:nvGrpSpPr>
        <xdr:cNvPr id="3" name="Group 2"/>
        <xdr:cNvGrpSpPr/>
      </xdr:nvGrpSpPr>
      <xdr:grpSpPr>
        <a:xfrm>
          <a:off x="578825" y="1703508"/>
          <a:ext cx="4752434" cy="843363"/>
          <a:chOff x="6705087" y="2758108"/>
          <a:chExt cx="4753899" cy="844828"/>
        </a:xfrm>
      </xdr:grpSpPr>
      <xdr:sp macro="" textlink="">
        <xdr:nvSpPr>
          <xdr:cNvPr id="4" name="Oval 3"/>
          <xdr:cNvSpPr/>
        </xdr:nvSpPr>
        <xdr:spPr>
          <a:xfrm>
            <a:off x="9578836" y="3056284"/>
            <a:ext cx="1822175" cy="546652"/>
          </a:xfrm>
          <a:prstGeom prst="ellipse">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Oval 4"/>
          <xdr:cNvSpPr/>
        </xdr:nvSpPr>
        <xdr:spPr>
          <a:xfrm>
            <a:off x="6705087" y="3056283"/>
            <a:ext cx="836544" cy="546652"/>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Rectangle 5"/>
          <xdr:cNvSpPr/>
        </xdr:nvSpPr>
        <xdr:spPr>
          <a:xfrm>
            <a:off x="7119218" y="3056283"/>
            <a:ext cx="1043928"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Forward Hull</a:t>
            </a:r>
          </a:p>
        </xdr:txBody>
      </xdr:sp>
      <xdr:sp macro="" textlink="">
        <xdr:nvSpPr>
          <xdr:cNvPr id="7" name="Rectangle 6"/>
          <xdr:cNvSpPr/>
        </xdr:nvSpPr>
        <xdr:spPr>
          <a:xfrm>
            <a:off x="9445040" y="3056283"/>
            <a:ext cx="1128664"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Aft Hull</a:t>
            </a:r>
          </a:p>
        </xdr:txBody>
      </xdr:sp>
      <xdr:sp macro="" textlink="">
        <xdr:nvSpPr>
          <xdr:cNvPr id="8" name="Rectangle 7"/>
          <xdr:cNvSpPr/>
        </xdr:nvSpPr>
        <xdr:spPr>
          <a:xfrm>
            <a:off x="8613912" y="3056283"/>
            <a:ext cx="836543"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Science Bay</a:t>
            </a:r>
          </a:p>
        </xdr:txBody>
      </xdr:sp>
      <xdr:sp macro="" textlink="">
        <xdr:nvSpPr>
          <xdr:cNvPr id="9" name="Freeform 8"/>
          <xdr:cNvSpPr/>
        </xdr:nvSpPr>
        <xdr:spPr>
          <a:xfrm>
            <a:off x="10970312" y="2758108"/>
            <a:ext cx="488674" cy="347869"/>
          </a:xfrm>
          <a:custGeom>
            <a:avLst/>
            <a:gdLst>
              <a:gd name="connsiteX0" fmla="*/ 0 w 488674"/>
              <a:gd name="connsiteY0" fmla="*/ 323022 h 347869"/>
              <a:gd name="connsiteX1" fmla="*/ 165652 w 488674"/>
              <a:gd name="connsiteY1" fmla="*/ 0 h 347869"/>
              <a:gd name="connsiteX2" fmla="*/ 488674 w 488674"/>
              <a:gd name="connsiteY2" fmla="*/ 0 h 347869"/>
              <a:gd name="connsiteX3" fmla="*/ 422413 w 488674"/>
              <a:gd name="connsiteY3" fmla="*/ 347869 h 347869"/>
              <a:gd name="connsiteX4" fmla="*/ 0 w 488674"/>
              <a:gd name="connsiteY4" fmla="*/ 323022 h 3478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88674" h="347869">
                <a:moveTo>
                  <a:pt x="0" y="323022"/>
                </a:moveTo>
                <a:lnTo>
                  <a:pt x="165652" y="0"/>
                </a:lnTo>
                <a:lnTo>
                  <a:pt x="488674" y="0"/>
                </a:lnTo>
                <a:lnTo>
                  <a:pt x="422413" y="347869"/>
                </a:lnTo>
                <a:lnTo>
                  <a:pt x="0" y="323022"/>
                </a:lnTo>
                <a:close/>
              </a:path>
            </a:pathLst>
          </a:cu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xdr:cNvSpPr/>
        </xdr:nvSpPr>
        <xdr:spPr>
          <a:xfrm>
            <a:off x="8163146" y="3056283"/>
            <a:ext cx="452037"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DVL Bay</a:t>
            </a:r>
          </a:p>
        </xdr:txBody>
      </xdr:sp>
    </xdr:grpSp>
    <xdr:clientData/>
  </xdr:twoCellAnchor>
  <xdr:twoCellAnchor editAs="oneCell">
    <xdr:from>
      <xdr:col>0</xdr:col>
      <xdr:colOff>0</xdr:colOff>
      <xdr:row>0</xdr:row>
      <xdr:rowOff>0</xdr:rowOff>
    </xdr:from>
    <xdr:to>
      <xdr:col>1</xdr:col>
      <xdr:colOff>666750</xdr:colOff>
      <xdr:row>2</xdr:row>
      <xdr:rowOff>137922</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43200" cy="6522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372716</xdr:colOff>
      <xdr:row>7</xdr:row>
      <xdr:rowOff>149085</xdr:rowOff>
    </xdr:from>
    <xdr:to>
      <xdr:col>3</xdr:col>
      <xdr:colOff>240193</xdr:colOff>
      <xdr:row>12</xdr:row>
      <xdr:rowOff>157370</xdr:rowOff>
    </xdr:to>
    <xdr:grpSp>
      <xdr:nvGrpSpPr>
        <xdr:cNvPr id="23" name="Group 22"/>
        <xdr:cNvGrpSpPr/>
      </xdr:nvGrpSpPr>
      <xdr:grpSpPr>
        <a:xfrm>
          <a:off x="372716" y="1720710"/>
          <a:ext cx="4687127" cy="827435"/>
          <a:chOff x="6485281" y="2758108"/>
          <a:chExt cx="4687955" cy="844828"/>
        </a:xfrm>
      </xdr:grpSpPr>
      <xdr:sp macro="" textlink="">
        <xdr:nvSpPr>
          <xdr:cNvPr id="18" name="Oval 17"/>
          <xdr:cNvSpPr/>
        </xdr:nvSpPr>
        <xdr:spPr>
          <a:xfrm>
            <a:off x="9293086" y="3056284"/>
            <a:ext cx="1822175" cy="546652"/>
          </a:xfrm>
          <a:prstGeom prst="ellipse">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Oval 14"/>
          <xdr:cNvSpPr/>
        </xdr:nvSpPr>
        <xdr:spPr>
          <a:xfrm>
            <a:off x="6485281" y="3056283"/>
            <a:ext cx="836544" cy="546652"/>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Rectangle 3"/>
          <xdr:cNvSpPr/>
        </xdr:nvSpPr>
        <xdr:spPr>
          <a:xfrm>
            <a:off x="7760804" y="3056283"/>
            <a:ext cx="915887"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Extended Energy bay</a:t>
            </a:r>
          </a:p>
        </xdr:txBody>
      </xdr:sp>
      <xdr:sp macro="" textlink="">
        <xdr:nvSpPr>
          <xdr:cNvPr id="7" name="Rectangle 6"/>
          <xdr:cNvSpPr/>
        </xdr:nvSpPr>
        <xdr:spPr>
          <a:xfrm>
            <a:off x="6899412" y="3056283"/>
            <a:ext cx="868864"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Forward Hull</a:t>
            </a:r>
          </a:p>
        </xdr:txBody>
      </xdr:sp>
      <xdr:sp macro="" textlink="">
        <xdr:nvSpPr>
          <xdr:cNvPr id="8" name="Rectangle 7"/>
          <xdr:cNvSpPr/>
        </xdr:nvSpPr>
        <xdr:spPr>
          <a:xfrm>
            <a:off x="9372654" y="3056283"/>
            <a:ext cx="930911"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Aft Hull</a:t>
            </a:r>
          </a:p>
        </xdr:txBody>
      </xdr:sp>
      <xdr:sp macro="" textlink="">
        <xdr:nvSpPr>
          <xdr:cNvPr id="9" name="Rectangle 8"/>
          <xdr:cNvSpPr/>
        </xdr:nvSpPr>
        <xdr:spPr>
          <a:xfrm>
            <a:off x="8679847" y="3056283"/>
            <a:ext cx="692808" cy="546652"/>
          </a:xfrm>
          <a:prstGeom prst="rect">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Science Bay</a:t>
            </a:r>
          </a:p>
        </xdr:txBody>
      </xdr:sp>
      <xdr:sp macro="" textlink="">
        <xdr:nvSpPr>
          <xdr:cNvPr id="22" name="Freeform 21"/>
          <xdr:cNvSpPr/>
        </xdr:nvSpPr>
        <xdr:spPr>
          <a:xfrm>
            <a:off x="10684562" y="2758108"/>
            <a:ext cx="488674" cy="347869"/>
          </a:xfrm>
          <a:custGeom>
            <a:avLst/>
            <a:gdLst>
              <a:gd name="connsiteX0" fmla="*/ 0 w 488674"/>
              <a:gd name="connsiteY0" fmla="*/ 323022 h 347869"/>
              <a:gd name="connsiteX1" fmla="*/ 165652 w 488674"/>
              <a:gd name="connsiteY1" fmla="*/ 0 h 347869"/>
              <a:gd name="connsiteX2" fmla="*/ 488674 w 488674"/>
              <a:gd name="connsiteY2" fmla="*/ 0 h 347869"/>
              <a:gd name="connsiteX3" fmla="*/ 422413 w 488674"/>
              <a:gd name="connsiteY3" fmla="*/ 347869 h 347869"/>
              <a:gd name="connsiteX4" fmla="*/ 0 w 488674"/>
              <a:gd name="connsiteY4" fmla="*/ 323022 h 3478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88674" h="347869">
                <a:moveTo>
                  <a:pt x="0" y="323022"/>
                </a:moveTo>
                <a:lnTo>
                  <a:pt x="165652" y="0"/>
                </a:lnTo>
                <a:lnTo>
                  <a:pt x="488674" y="0"/>
                </a:lnTo>
                <a:lnTo>
                  <a:pt x="422413" y="347869"/>
                </a:lnTo>
                <a:lnTo>
                  <a:pt x="0" y="323022"/>
                </a:lnTo>
                <a:close/>
              </a:path>
            </a:pathLst>
          </a:cu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0</xdr:colOff>
      <xdr:row>0</xdr:row>
      <xdr:rowOff>0</xdr:rowOff>
    </xdr:from>
    <xdr:to>
      <xdr:col>1</xdr:col>
      <xdr:colOff>666750</xdr:colOff>
      <xdr:row>2</xdr:row>
      <xdr:rowOff>137922</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43200" cy="6522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504600</xdr:colOff>
      <xdr:row>7</xdr:row>
      <xdr:rowOff>149085</xdr:rowOff>
    </xdr:from>
    <xdr:to>
      <xdr:col>3</xdr:col>
      <xdr:colOff>423368</xdr:colOff>
      <xdr:row>12</xdr:row>
      <xdr:rowOff>157370</xdr:rowOff>
    </xdr:to>
    <xdr:grpSp>
      <xdr:nvGrpSpPr>
        <xdr:cNvPr id="3" name="Group 2"/>
        <xdr:cNvGrpSpPr/>
      </xdr:nvGrpSpPr>
      <xdr:grpSpPr>
        <a:xfrm>
          <a:off x="504600" y="1720710"/>
          <a:ext cx="4738418" cy="827435"/>
          <a:chOff x="6617147" y="2758108"/>
          <a:chExt cx="4739239" cy="844828"/>
        </a:xfrm>
        <a:solidFill>
          <a:srgbClr val="2B4600"/>
        </a:solidFill>
      </xdr:grpSpPr>
      <xdr:sp macro="" textlink="">
        <xdr:nvSpPr>
          <xdr:cNvPr id="4" name="Oval 3"/>
          <xdr:cNvSpPr/>
        </xdr:nvSpPr>
        <xdr:spPr>
          <a:xfrm>
            <a:off x="9476236" y="3056284"/>
            <a:ext cx="1822175" cy="546652"/>
          </a:xfrm>
          <a:prstGeom prst="ellipse">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5" name="Oval 4"/>
          <xdr:cNvSpPr/>
        </xdr:nvSpPr>
        <xdr:spPr>
          <a:xfrm>
            <a:off x="6617147" y="3056283"/>
            <a:ext cx="836544" cy="546652"/>
          </a:xfrm>
          <a:prstGeom prst="ellipse">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6" name="Rectangle 5"/>
          <xdr:cNvSpPr/>
        </xdr:nvSpPr>
        <xdr:spPr>
          <a:xfrm>
            <a:off x="8178527" y="3056283"/>
            <a:ext cx="1172149" cy="546652"/>
          </a:xfrm>
          <a:prstGeom prst="rect">
            <a:avLst/>
          </a:prstGeom>
          <a:solidFill>
            <a:schemeClr val="bg1">
              <a:lumMod val="6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Extended Energy</a:t>
            </a:r>
            <a:r>
              <a:rPr lang="en-US" sz="1100" baseline="0">
                <a:solidFill>
                  <a:schemeClr val="bg1"/>
                </a:solidFill>
              </a:rPr>
              <a:t> &amp; </a:t>
            </a:r>
            <a:r>
              <a:rPr lang="en-US" sz="1100">
                <a:solidFill>
                  <a:schemeClr val="bg1"/>
                </a:solidFill>
              </a:rPr>
              <a:t>Science bay</a:t>
            </a:r>
          </a:p>
        </xdr:txBody>
      </xdr:sp>
      <xdr:sp macro="" textlink="">
        <xdr:nvSpPr>
          <xdr:cNvPr id="7" name="Rectangle 6"/>
          <xdr:cNvSpPr/>
        </xdr:nvSpPr>
        <xdr:spPr>
          <a:xfrm>
            <a:off x="7031277" y="3056283"/>
            <a:ext cx="1147249" cy="546652"/>
          </a:xfrm>
          <a:prstGeom prst="rect">
            <a:avLst/>
          </a:prstGeom>
          <a:solidFill>
            <a:schemeClr val="bg1">
              <a:lumMod val="6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Forward Hull</a:t>
            </a:r>
          </a:p>
        </xdr:txBody>
      </xdr:sp>
      <xdr:sp macro="" textlink="">
        <xdr:nvSpPr>
          <xdr:cNvPr id="8" name="Rectangle 7"/>
          <xdr:cNvSpPr/>
        </xdr:nvSpPr>
        <xdr:spPr>
          <a:xfrm>
            <a:off x="9343350" y="3056283"/>
            <a:ext cx="1194127" cy="546652"/>
          </a:xfrm>
          <a:prstGeom prst="rect">
            <a:avLst/>
          </a:prstGeom>
          <a:solidFill>
            <a:schemeClr val="bg1">
              <a:lumMod val="6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Aft Hull</a:t>
            </a:r>
          </a:p>
        </xdr:txBody>
      </xdr:sp>
      <xdr:sp macro="" textlink="">
        <xdr:nvSpPr>
          <xdr:cNvPr id="10" name="Freeform 9"/>
          <xdr:cNvSpPr/>
        </xdr:nvSpPr>
        <xdr:spPr>
          <a:xfrm>
            <a:off x="10867712" y="2758108"/>
            <a:ext cx="488674" cy="347869"/>
          </a:xfrm>
          <a:custGeom>
            <a:avLst/>
            <a:gdLst>
              <a:gd name="connsiteX0" fmla="*/ 0 w 488674"/>
              <a:gd name="connsiteY0" fmla="*/ 323022 h 347869"/>
              <a:gd name="connsiteX1" fmla="*/ 165652 w 488674"/>
              <a:gd name="connsiteY1" fmla="*/ 0 h 347869"/>
              <a:gd name="connsiteX2" fmla="*/ 488674 w 488674"/>
              <a:gd name="connsiteY2" fmla="*/ 0 h 347869"/>
              <a:gd name="connsiteX3" fmla="*/ 422413 w 488674"/>
              <a:gd name="connsiteY3" fmla="*/ 347869 h 347869"/>
              <a:gd name="connsiteX4" fmla="*/ 0 w 488674"/>
              <a:gd name="connsiteY4" fmla="*/ 323022 h 3478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88674" h="347869">
                <a:moveTo>
                  <a:pt x="0" y="323022"/>
                </a:moveTo>
                <a:lnTo>
                  <a:pt x="165652" y="0"/>
                </a:lnTo>
                <a:lnTo>
                  <a:pt x="488674" y="0"/>
                </a:lnTo>
                <a:lnTo>
                  <a:pt x="422413" y="347869"/>
                </a:lnTo>
                <a:lnTo>
                  <a:pt x="0" y="323022"/>
                </a:lnTo>
                <a:close/>
              </a:path>
            </a:pathLst>
          </a:cu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grpSp>
    <xdr:clientData/>
  </xdr:twoCellAnchor>
  <xdr:twoCellAnchor editAs="oneCell">
    <xdr:from>
      <xdr:col>0</xdr:col>
      <xdr:colOff>0</xdr:colOff>
      <xdr:row>0</xdr:row>
      <xdr:rowOff>0</xdr:rowOff>
    </xdr:from>
    <xdr:to>
      <xdr:col>1</xdr:col>
      <xdr:colOff>666750</xdr:colOff>
      <xdr:row>2</xdr:row>
      <xdr:rowOff>137922</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43200" cy="6522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94"/>
  <sheetViews>
    <sheetView tabSelected="1" zoomScaleNormal="100" zoomScaleSheetLayoutView="115" workbookViewId="0"/>
  </sheetViews>
  <sheetFormatPr defaultColWidth="9.140625" defaultRowHeight="12.75" x14ac:dyDescent="0.2"/>
  <cols>
    <col min="1" max="1" width="6.85546875" style="96" customWidth="1"/>
    <col min="2" max="2" width="22.42578125" style="96" customWidth="1"/>
    <col min="3" max="3" width="17.42578125" style="96" customWidth="1"/>
    <col min="4" max="4" width="6.42578125" style="96" customWidth="1"/>
    <col min="5" max="5" width="21" style="96" customWidth="1"/>
    <col min="6" max="6" width="5.5703125" style="96" bestFit="1" customWidth="1"/>
    <col min="7" max="7" width="13.140625" style="96" customWidth="1"/>
    <col min="8" max="8" width="12.140625" style="96" bestFit="1" customWidth="1"/>
    <col min="9" max="9" width="16" style="25" customWidth="1"/>
    <col min="10" max="10" width="18.140625" style="25" bestFit="1" customWidth="1"/>
    <col min="11" max="11" width="23.28515625" style="25" customWidth="1"/>
    <col min="12" max="12" width="21.42578125" style="25" customWidth="1"/>
    <col min="13" max="16384" width="9.140625" style="25"/>
  </cols>
  <sheetData>
    <row r="1" spans="1:8" customFormat="1" ht="15.75" customHeight="1" x14ac:dyDescent="0.2">
      <c r="A1" s="97"/>
      <c r="B1" s="97"/>
      <c r="C1" s="97"/>
      <c r="D1" s="116"/>
      <c r="E1" s="162"/>
      <c r="F1" s="164"/>
      <c r="G1" s="165" t="s">
        <v>167</v>
      </c>
      <c r="H1" s="166" t="s">
        <v>166</v>
      </c>
    </row>
    <row r="2" spans="1:8" customFormat="1" ht="15.75" customHeight="1" x14ac:dyDescent="0.2">
      <c r="A2" s="97"/>
      <c r="B2" s="97"/>
      <c r="C2" s="97"/>
      <c r="D2" s="162"/>
      <c r="E2" s="162"/>
      <c r="F2" s="161"/>
      <c r="G2" s="167" t="s">
        <v>168</v>
      </c>
      <c r="H2" s="168" t="s">
        <v>218</v>
      </c>
    </row>
    <row r="3" spans="1:8" customFormat="1" ht="15.75" customHeight="1" x14ac:dyDescent="0.2">
      <c r="A3" s="97"/>
      <c r="B3" s="97"/>
      <c r="C3" s="97"/>
      <c r="D3" s="162"/>
      <c r="E3" s="162"/>
      <c r="F3" s="161"/>
      <c r="G3" s="167" t="s">
        <v>1</v>
      </c>
      <c r="H3" s="169">
        <v>41813</v>
      </c>
    </row>
    <row r="4" spans="1:8" customFormat="1" ht="15.75" customHeight="1" thickBot="1" x14ac:dyDescent="0.25">
      <c r="A4" s="97"/>
      <c r="B4" s="97"/>
      <c r="C4" s="97"/>
      <c r="D4" s="163"/>
      <c r="E4" s="163"/>
      <c r="F4" s="161"/>
      <c r="G4" s="170" t="s">
        <v>169</v>
      </c>
      <c r="H4" s="171">
        <v>12698</v>
      </c>
    </row>
    <row r="5" spans="1:8" customFormat="1" ht="9" customHeight="1" thickBot="1" x14ac:dyDescent="0.25">
      <c r="A5" s="172"/>
      <c r="B5" s="172"/>
      <c r="C5" s="172"/>
      <c r="D5" s="172"/>
      <c r="E5" s="172"/>
      <c r="F5" s="172"/>
      <c r="G5" s="172"/>
      <c r="H5" s="172"/>
    </row>
    <row r="6" spans="1:8" customFormat="1" ht="9" customHeight="1" thickTop="1" x14ac:dyDescent="0.2">
      <c r="A6" s="149"/>
      <c r="B6" s="149"/>
      <c r="C6" s="149"/>
      <c r="D6" s="149"/>
      <c r="E6" s="149"/>
      <c r="F6" s="149"/>
      <c r="G6" s="149"/>
      <c r="H6" s="149"/>
    </row>
    <row r="7" spans="1:8" s="95" customFormat="1" ht="22.5" customHeight="1" x14ac:dyDescent="0.2">
      <c r="A7" s="359" t="s">
        <v>129</v>
      </c>
      <c r="B7" s="359"/>
      <c r="C7" s="359"/>
      <c r="D7" s="359"/>
      <c r="E7" s="358" t="s">
        <v>140</v>
      </c>
      <c r="F7" s="358"/>
      <c r="G7" s="358"/>
      <c r="H7" s="358"/>
    </row>
    <row r="8" spans="1:8" ht="9.75" customHeight="1" x14ac:dyDescent="0.2"/>
    <row r="9" spans="1:8" ht="15.75" customHeight="1" x14ac:dyDescent="0.2">
      <c r="A9" s="362" t="s">
        <v>187</v>
      </c>
      <c r="B9" s="362"/>
      <c r="C9" s="362"/>
      <c r="D9" s="362"/>
      <c r="E9" s="362"/>
      <c r="F9" s="362"/>
      <c r="G9" s="362"/>
      <c r="H9" s="362"/>
    </row>
    <row r="10" spans="1:8" ht="15.75" customHeight="1" x14ac:dyDescent="0.2">
      <c r="A10" s="362" t="s">
        <v>188</v>
      </c>
      <c r="B10" s="363"/>
      <c r="C10" s="363"/>
      <c r="D10" s="363"/>
      <c r="E10" s="363"/>
      <c r="F10" s="363"/>
      <c r="G10" s="363"/>
      <c r="H10" s="363"/>
    </row>
    <row r="11" spans="1:8" ht="15.75" customHeight="1" x14ac:dyDescent="0.2">
      <c r="A11" s="362" t="s">
        <v>189</v>
      </c>
      <c r="B11" s="363"/>
      <c r="C11" s="363"/>
      <c r="D11" s="363"/>
      <c r="E11" s="363"/>
      <c r="F11" s="363"/>
      <c r="G11" s="363"/>
      <c r="H11" s="363"/>
    </row>
    <row r="12" spans="1:8" ht="8.25" customHeight="1" x14ac:dyDescent="0.2"/>
    <row r="13" spans="1:8" ht="21.75" customHeight="1" x14ac:dyDescent="0.2">
      <c r="A13" s="360" t="s">
        <v>0</v>
      </c>
      <c r="B13" s="361"/>
      <c r="C13" s="120"/>
      <c r="E13" s="119"/>
      <c r="F13" s="119"/>
    </row>
    <row r="14" spans="1:8" ht="21.75" customHeight="1" x14ac:dyDescent="0.2">
      <c r="A14" s="360" t="s">
        <v>128</v>
      </c>
      <c r="B14" s="361"/>
      <c r="C14" s="120"/>
      <c r="E14" s="119"/>
      <c r="F14" s="119"/>
    </row>
    <row r="15" spans="1:8" ht="21.75" customHeight="1" x14ac:dyDescent="0.2">
      <c r="A15" s="360" t="s">
        <v>1</v>
      </c>
      <c r="B15" s="361"/>
      <c r="C15" s="249"/>
      <c r="E15" s="117"/>
    </row>
    <row r="16" spans="1:8" ht="30" customHeight="1" thickBot="1" x14ac:dyDescent="0.25">
      <c r="A16" s="360" t="s">
        <v>117</v>
      </c>
      <c r="B16" s="361"/>
      <c r="C16" s="232"/>
    </row>
    <row r="17" spans="1:9" ht="25.5" customHeight="1" x14ac:dyDescent="0.2">
      <c r="A17" s="364" t="s">
        <v>182</v>
      </c>
      <c r="B17" s="230" t="s">
        <v>204</v>
      </c>
      <c r="C17" s="251" t="s">
        <v>200</v>
      </c>
      <c r="E17" s="121"/>
      <c r="F17" s="119"/>
      <c r="G17" s="118"/>
    </row>
    <row r="18" spans="1:9" ht="25.5" customHeight="1" x14ac:dyDescent="0.2">
      <c r="A18" s="365"/>
      <c r="B18" s="231" t="s">
        <v>205</v>
      </c>
      <c r="C18" s="251" t="s">
        <v>200</v>
      </c>
      <c r="E18" s="117"/>
      <c r="F18" s="119"/>
    </row>
    <row r="19" spans="1:9" ht="25.5" customHeight="1" x14ac:dyDescent="0.2">
      <c r="A19" s="365"/>
      <c r="B19" s="231" t="s">
        <v>214</v>
      </c>
      <c r="C19" s="222"/>
      <c r="E19" s="117"/>
      <c r="F19" s="119"/>
    </row>
    <row r="20" spans="1:9" ht="25.5" customHeight="1" x14ac:dyDescent="0.2">
      <c r="A20" s="365"/>
      <c r="B20" s="231" t="s">
        <v>179</v>
      </c>
      <c r="C20" s="251" t="s">
        <v>200</v>
      </c>
      <c r="E20" s="117"/>
      <c r="F20" s="119"/>
    </row>
    <row r="21" spans="1:9" ht="25.5" customHeight="1" x14ac:dyDescent="0.2">
      <c r="A21" s="365"/>
      <c r="B21" s="231" t="s">
        <v>222</v>
      </c>
      <c r="C21" s="222"/>
      <c r="E21" s="117"/>
      <c r="F21" s="226"/>
    </row>
    <row r="22" spans="1:9" ht="25.5" customHeight="1" x14ac:dyDescent="0.2">
      <c r="A22" s="365"/>
      <c r="B22" s="231" t="s">
        <v>183</v>
      </c>
      <c r="C22" s="222"/>
      <c r="E22" s="117"/>
      <c r="F22" s="229"/>
    </row>
    <row r="23" spans="1:9" ht="25.5" customHeight="1" x14ac:dyDescent="0.2">
      <c r="A23" s="365"/>
      <c r="B23" s="231" t="s">
        <v>219</v>
      </c>
      <c r="C23" s="222"/>
      <c r="E23" s="117"/>
      <c r="F23" s="229"/>
    </row>
    <row r="24" spans="1:9" ht="25.5" customHeight="1" x14ac:dyDescent="0.2">
      <c r="A24" s="365"/>
      <c r="B24" s="231" t="s">
        <v>220</v>
      </c>
      <c r="C24" s="222"/>
      <c r="E24" s="117"/>
      <c r="F24" s="229"/>
    </row>
    <row r="25" spans="1:9" ht="25.5" customHeight="1" x14ac:dyDescent="0.2">
      <c r="A25" s="348"/>
      <c r="B25" s="231" t="s">
        <v>234</v>
      </c>
      <c r="C25" s="232"/>
      <c r="E25" s="117"/>
      <c r="F25" s="229"/>
    </row>
    <row r="26" spans="1:9" ht="25.5" customHeight="1" x14ac:dyDescent="0.2">
      <c r="A26" s="348"/>
      <c r="B26" s="231" t="s">
        <v>240</v>
      </c>
      <c r="C26" s="232"/>
      <c r="E26" s="117"/>
      <c r="F26" s="229"/>
    </row>
    <row r="27" spans="1:9" ht="25.5" customHeight="1" thickBot="1" x14ac:dyDescent="0.25">
      <c r="A27" s="329"/>
      <c r="B27" s="346" t="s">
        <v>231</v>
      </c>
      <c r="C27" s="347"/>
      <c r="E27" s="117"/>
      <c r="F27" s="229"/>
    </row>
    <row r="28" spans="1:9" ht="15.75" customHeight="1" x14ac:dyDescent="0.2">
      <c r="A28" s="360" t="s">
        <v>125</v>
      </c>
      <c r="B28" s="361"/>
      <c r="C28" s="252">
        <f>IF(C16=Constants!A2,Constants!B2,IF(C16=Constants!A3,Constants!B3,IF(C16=Constants!A4,Constants!B4,IF(C16=Constants!A5,Constants!B5,IF(C16=Constants!A6,Constants!B6,)))))</f>
        <v>0</v>
      </c>
      <c r="D28" s="96" t="s">
        <v>2</v>
      </c>
    </row>
    <row r="29" spans="1:9" ht="15.75" customHeight="1" x14ac:dyDescent="0.2">
      <c r="A29" s="360" t="s">
        <v>122</v>
      </c>
      <c r="B29" s="361"/>
      <c r="C29" s="253">
        <f>C28+C27+SUMIF(Constants!E11:E21,"TRUE",Constants!D11:D21)+IF(C25=Constants!H2,Constants!I2,IF(C25=Constants!H3,Constants!I3,IF(C25=Constants!H4,Constants!I4,IF(C25=Constants!H5,Constants!I5,))))+IF(C26=Constants!J2,Constants!K2,IF(C26=Constants!J3,Constants!K3,IF(C26=Constants!J4,Constants!K4,IF(C26=Constants!J5,Constants!K5,IF(C26=Constants!J6,Constants!K6,)))))</f>
        <v>0</v>
      </c>
      <c r="D29" s="96" t="s">
        <v>2</v>
      </c>
      <c r="I29" s="26"/>
    </row>
    <row r="30" spans="1:9" ht="8.25" customHeight="1" x14ac:dyDescent="0.2">
      <c r="B30" s="122"/>
      <c r="D30" s="116"/>
      <c r="G30" s="123"/>
      <c r="I30" s="30"/>
    </row>
    <row r="31" spans="1:9" ht="15.75" customHeight="1" x14ac:dyDescent="0.2">
      <c r="C31" s="121" t="s">
        <v>4</v>
      </c>
      <c r="D31" s="115"/>
      <c r="E31" s="123" t="s">
        <v>3</v>
      </c>
      <c r="F31" s="123"/>
      <c r="G31" s="121" t="s">
        <v>5</v>
      </c>
    </row>
    <row r="32" spans="1:9" ht="15.75" customHeight="1" x14ac:dyDescent="0.2">
      <c r="A32" s="360" t="s">
        <v>79</v>
      </c>
      <c r="B32" s="361"/>
      <c r="C32" s="124">
        <v>0</v>
      </c>
      <c r="D32" s="125" t="s">
        <v>8</v>
      </c>
      <c r="E32" s="124">
        <v>0</v>
      </c>
      <c r="F32" s="126" t="s">
        <v>8</v>
      </c>
      <c r="G32" s="127">
        <f>C29*53.5*10^-6*(E32-C32)*E38</f>
        <v>0</v>
      </c>
      <c r="H32" s="96" t="s">
        <v>10</v>
      </c>
      <c r="I32" s="87" t="str">
        <f>IF(OR(C32&lt;-5,C32&gt;50),"Tank water temp out of range.  Allowable value between -5 and 50 degrees c",IF(OR(E32&lt;-5,E32&gt;50),"Target water temp out of range, allowable value between -5 and 50 degrees c",""))</f>
        <v/>
      </c>
    </row>
    <row r="33" spans="1:12" s="32" customFormat="1" ht="15.75" customHeight="1" x14ac:dyDescent="0.2">
      <c r="A33" s="370" t="s">
        <v>80</v>
      </c>
      <c r="B33" s="371"/>
      <c r="C33" s="129">
        <v>0</v>
      </c>
      <c r="D33" s="116" t="s">
        <v>7</v>
      </c>
      <c r="E33" s="129">
        <v>0</v>
      </c>
      <c r="F33" s="116" t="s">
        <v>7</v>
      </c>
      <c r="G33" s="127"/>
      <c r="H33" s="128"/>
      <c r="I33" s="89" t="str">
        <f>IF(AND(OR(C33=0,ABS(C33-1000)&lt;100),OR(E33=0,ABS(E33-1000)&lt;100)),"","Either tank or target density out of range.  Allowable values are 0 g/L or between 900 and 1100 g/L")</f>
        <v/>
      </c>
    </row>
    <row r="34" spans="1:12" s="32" customFormat="1" ht="15.75" customHeight="1" x14ac:dyDescent="0.2">
      <c r="A34" s="370" t="s">
        <v>81</v>
      </c>
      <c r="B34" s="371"/>
      <c r="C34" s="265">
        <v>0</v>
      </c>
      <c r="D34" s="130" t="s">
        <v>19</v>
      </c>
      <c r="E34" s="129">
        <v>0</v>
      </c>
      <c r="F34" s="128" t="s">
        <v>19</v>
      </c>
      <c r="G34" s="131"/>
      <c r="H34" s="128"/>
      <c r="I34" s="87" t="str">
        <f>IF(OR(C34&lt;0,C34&gt;10),"Tank water conductivity out of range",IF(OR(E34&lt;0,E34&gt;10),"Target water conductivity out of range",""))</f>
        <v/>
      </c>
    </row>
    <row r="35" spans="1:12" s="32" customFormat="1" ht="15.75" customHeight="1" x14ac:dyDescent="0.2">
      <c r="A35" s="370" t="s">
        <v>82</v>
      </c>
      <c r="B35" s="371"/>
      <c r="C35" s="129">
        <v>0</v>
      </c>
      <c r="D35" s="130" t="s">
        <v>6</v>
      </c>
      <c r="E35" s="129">
        <v>0</v>
      </c>
      <c r="F35" s="128" t="s">
        <v>6</v>
      </c>
      <c r="G35" s="131"/>
      <c r="H35" s="128"/>
      <c r="I35" s="87" t="str">
        <f>IF(OR(C35&lt;0,C35&gt;100),"Tank water salinity out of range",IF(OR(E35&lt;0,E35&gt;100),"Target water salinity out of range",""))</f>
        <v/>
      </c>
    </row>
    <row r="36" spans="1:12" s="32" customFormat="1" ht="15.75" customHeight="1" x14ac:dyDescent="0.2">
      <c r="A36" s="255"/>
      <c r="B36" s="256"/>
      <c r="C36" s="132"/>
      <c r="D36" s="133"/>
      <c r="E36" s="132"/>
      <c r="F36" s="134"/>
      <c r="G36" s="131"/>
      <c r="H36" s="128"/>
    </row>
    <row r="37" spans="1:12" ht="15.75" customHeight="1" x14ac:dyDescent="0.2">
      <c r="A37" s="360" t="s">
        <v>37</v>
      </c>
      <c r="B37" s="361"/>
      <c r="C37" s="135">
        <f>IF(C34,((0.008+((C32-15)/(1+0.0162*(C32-15)))*0.0005)+(SQRT(C34/(4.2914*(0.6766097+C32*(0.0200564+C32*(0.0001104259+C32*(-0.00000069698+C32*0.0000000010031)))))))*((-0.1692+((C32-15)/(1+0.0162*(C32-15)))*-0.0056)+(SQRT(C34/(4.2914*(0.6766097+C32*(0.0200564+C32*(0.0001104259+C32*(-0.00000069698+C32*0.0000000010031)))))))*((25.3851+((C32-15)/(1+0.0162*(C32-15)))*-0.0066)+(SQRT(C34/(4.2914*(0.6766097+C32*(0.0200564+C32*(0.0001104259+C32*(-0.00000069698+C32*0.0000000010031)))))))*((14.0941+((C32-15)/(1+0.0162*(C32-15)))*-0.0375)+(SQRT(C34/(4.2914*(0.6766097+C32*(0.0200564+C32*(0.0001104259+C32*(-0.00000069698+C32*0.0000000010031)))))))*((-7.0261+((C32-15)/(1+0.0162*(C32-15)))*0.0636)+(SQRT(C34/(4.2914*(0.6766097+C32*(0.0200564+C32*(0.0001104259+C32*(-0.00000069698+C32*0.0000000010031)))))))*((2.7081+((C32-15)/(1+0.0162*(C32-15)))*-0.0144))))))),C35)</f>
        <v>0</v>
      </c>
      <c r="D37" s="116" t="s">
        <v>6</v>
      </c>
      <c r="E37" s="135">
        <f>IF(E34,((0.008+((E32-15)/(1+0.0162*(E32-15)))*0.0005)+(SQRT(E34/(4.2914*(0.6766097+E32*(0.0200564+E32*(0.0001104259+E32*(-0.00000069698+E32*0.0000000010031)))))))*((-0.1692+((E32-15)/(1+0.0162*(E32-15)))*-0.0056)+(SQRT(E34/(4.2914*(0.6766097+E32*(0.0200564+E32*(0.0001104259+E32*(-0.00000069698+E32*0.0000000010031)))))))*((25.3851+((E32-15)/(1+0.0162*(E32-15)))*-0.0066)+(SQRT(E34/(4.2914*(0.6766097+E32*(0.0200564+E32*(0.0001104259+E32*(-0.00000069698+E32*0.0000000010031)))))))*((14.0941+((E32-15)/(1+0.0162*(E32-15)))*-0.0375)+(SQRT(E34/(4.2914*(0.6766097+E32*(0.0200564+E32*(0.0001104259+E32*(-0.00000069698+E32*0.0000000010031)))))))*((-7.0261+((E32-15)/(1+0.0162*(E32-15)))*0.0636)+(SQRT(E34/(4.2914*(0.6766097+E32*(0.0200564+E32*(0.0001104259+E32*(-0.00000069698+E32*0.0000000010031)))))))*((2.7081+((E32-15)/(1+0.0162*(E32-15)))*-0.0144))))))),E35)</f>
        <v>0</v>
      </c>
      <c r="F37" s="96" t="s">
        <v>6</v>
      </c>
      <c r="G37" s="127"/>
      <c r="I37" s="27"/>
    </row>
    <row r="38" spans="1:12" ht="15.75" customHeight="1" x14ac:dyDescent="0.2">
      <c r="A38" s="370" t="s">
        <v>78</v>
      </c>
      <c r="B38" s="371"/>
      <c r="C38" s="136">
        <f>IF(C33,C33,(999.842594+C32*(6.793952*10^-2+C32*(-9.09529*10^-3+C32*(1.001685*10^-4+C32*(-1.120083*10^-6+C32*6.536332*10^-9)))))+C37*((0.824493+C32*(-4.0899*10^-3+C32*(7.6438*10^-5+C32*(-8.2467*10^-7+C32*5.3875*10^-9))))+(-5.72466*10^-3+C32*(1.0227*10^-4-C32*1.6546*10^-6))*SQRT(C37)+4.8314*10^-4*C37))</f>
        <v>999.84259399999996</v>
      </c>
      <c r="D38" s="116" t="s">
        <v>7</v>
      </c>
      <c r="E38" s="136">
        <f>IF(E33,E33,(999.842594+E32*(6.793952*10^-2+E32*(-9.09529*10^-3+E32*(1.001685*10^-4+E32*(-1.120083*10^-6+E32*6.536332*10^-9)))))+E37*((0.824493+E32*(-4.0899*10^-3+E32*(7.6438*10^-5+E32*(-8.2467*10^-7+E32*5.3875*10^-9))))+(-5.72466*10^-3+E32*(1.0227*10^-4-E32*1.6546*10^-6))*SQRT(E37)+4.8314*10^-4*E37))</f>
        <v>999.84259399999996</v>
      </c>
      <c r="F38" s="96" t="s">
        <v>7</v>
      </c>
      <c r="G38" s="127">
        <f>(E38-C38)*C29</f>
        <v>0</v>
      </c>
      <c r="H38" s="96" t="s">
        <v>10</v>
      </c>
      <c r="I38" s="87" t="str">
        <f>IF(OR(C38&lt;900,C38&gt;1100),"Density of tank water out of range",IF(OR(E38&lt;900,E38&gt;1100),"Density of target water out of range",""))</f>
        <v/>
      </c>
      <c r="K38" s="28"/>
      <c r="L38" s="28"/>
    </row>
    <row r="39" spans="1:12" ht="15.75" customHeight="1" x14ac:dyDescent="0.25">
      <c r="A39" s="257"/>
      <c r="B39" s="257"/>
      <c r="E39" s="121" t="s">
        <v>9</v>
      </c>
      <c r="F39" s="121"/>
      <c r="G39" s="137">
        <f>SUM(G32:G38)</f>
        <v>0</v>
      </c>
      <c r="H39" s="96" t="s">
        <v>10</v>
      </c>
      <c r="I39" s="88" t="str">
        <f>IF(AND(I32="",I38="",E28=""),"","One or more parameters above need to be adjusted")</f>
        <v/>
      </c>
      <c r="K39" s="28"/>
      <c r="L39" s="28"/>
    </row>
    <row r="40" spans="1:12" ht="15.75" customHeight="1" x14ac:dyDescent="0.2">
      <c r="A40" s="360" t="s">
        <v>165</v>
      </c>
      <c r="B40" s="360"/>
      <c r="C40" s="241"/>
    </row>
    <row r="41" spans="1:12" ht="29.25" customHeight="1" x14ac:dyDescent="0.2">
      <c r="A41" s="372" t="s">
        <v>230</v>
      </c>
      <c r="B41" s="373"/>
      <c r="C41" s="160" t="str">
        <f>IF(C40="Lead",ABS(G39/0.912/2),IF(C40="Stainless Steel",ABS(G39/0.875/2),""))</f>
        <v/>
      </c>
    </row>
    <row r="42" spans="1:12" ht="9" customHeight="1" x14ac:dyDescent="0.2">
      <c r="A42" s="374"/>
      <c r="B42" s="374"/>
      <c r="C42" s="176"/>
    </row>
    <row r="43" spans="1:12" ht="15.75" customHeight="1" x14ac:dyDescent="0.2">
      <c r="A43" s="361" t="s">
        <v>143</v>
      </c>
      <c r="B43" s="383"/>
      <c r="C43" s="242"/>
      <c r="D43" s="382" t="s">
        <v>172</v>
      </c>
      <c r="E43" s="382"/>
    </row>
    <row r="44" spans="1:12" ht="15.75" customHeight="1" x14ac:dyDescent="0.2">
      <c r="A44" s="361" t="s">
        <v>148</v>
      </c>
      <c r="B44" s="383"/>
      <c r="C44" s="159" t="str">
        <f>IF(C43="Lithium","Lithium Pitch Pack",IF(C43="Alkaline","Alkaline Pitch Pack",""))</f>
        <v/>
      </c>
      <c r="D44" s="384"/>
      <c r="E44" s="384"/>
    </row>
    <row r="45" spans="1:12" ht="27" customHeight="1" x14ac:dyDescent="0.2">
      <c r="A45" s="375" t="s">
        <v>206</v>
      </c>
      <c r="B45" s="373"/>
      <c r="C45" s="269"/>
      <c r="D45" s="376"/>
      <c r="E45" s="377"/>
    </row>
    <row r="46" spans="1:12" ht="15.75" customHeight="1" x14ac:dyDescent="0.2">
      <c r="A46" s="361" t="s">
        <v>147</v>
      </c>
      <c r="B46" s="383"/>
      <c r="C46" s="254"/>
      <c r="D46" s="385"/>
      <c r="E46" s="384"/>
    </row>
    <row r="47" spans="1:12" ht="29.25" customHeight="1" x14ac:dyDescent="0.2">
      <c r="A47" s="361" t="s">
        <v>149</v>
      </c>
      <c r="B47" s="383"/>
      <c r="C47" s="266"/>
      <c r="D47" s="384"/>
      <c r="E47" s="384"/>
    </row>
    <row r="48" spans="1:12" ht="19.5" customHeight="1" thickBot="1" x14ac:dyDescent="0.25">
      <c r="A48" s="366" t="s">
        <v>229</v>
      </c>
      <c r="B48" s="366"/>
      <c r="C48" s="366"/>
      <c r="D48" s="366"/>
      <c r="E48" s="366"/>
      <c r="F48" s="366"/>
      <c r="G48" s="366"/>
      <c r="H48" s="366"/>
    </row>
    <row r="49" spans="1:8" ht="15.75" customHeight="1" thickTop="1" x14ac:dyDescent="0.2">
      <c r="A49" s="259" t="s">
        <v>170</v>
      </c>
      <c r="B49" s="260"/>
      <c r="C49" s="258"/>
      <c r="D49" s="258"/>
      <c r="E49" s="258"/>
      <c r="F49" s="258"/>
      <c r="G49" s="258"/>
      <c r="H49" s="258"/>
    </row>
    <row r="50" spans="1:8" ht="5.25" customHeight="1" x14ac:dyDescent="0.2"/>
    <row r="51" spans="1:8" ht="15.75" customHeight="1" x14ac:dyDescent="0.2">
      <c r="A51" s="363" t="s">
        <v>11</v>
      </c>
      <c r="B51" s="363"/>
      <c r="C51" s="363"/>
      <c r="D51" s="363"/>
      <c r="E51" s="363"/>
      <c r="F51" s="363"/>
      <c r="G51" s="363"/>
    </row>
    <row r="52" spans="1:8" ht="15.75" customHeight="1" x14ac:dyDescent="0.2">
      <c r="A52" s="363" t="s">
        <v>12</v>
      </c>
      <c r="B52" s="363"/>
      <c r="C52" s="363"/>
      <c r="D52" s="363"/>
      <c r="E52" s="363"/>
      <c r="F52" s="363"/>
      <c r="G52" s="363"/>
    </row>
    <row r="53" spans="1:8" ht="15.75" customHeight="1" x14ac:dyDescent="0.2">
      <c r="A53" s="363" t="s">
        <v>13</v>
      </c>
      <c r="B53" s="363"/>
      <c r="C53" s="363"/>
      <c r="D53" s="363"/>
      <c r="E53" s="363"/>
      <c r="F53" s="363"/>
      <c r="G53" s="363"/>
    </row>
    <row r="54" spans="1:8" ht="15.75" customHeight="1" x14ac:dyDescent="0.2">
      <c r="A54" s="363" t="s">
        <v>14</v>
      </c>
      <c r="B54" s="363"/>
      <c r="C54" s="363"/>
      <c r="D54" s="363"/>
      <c r="E54" s="363"/>
      <c r="F54" s="363"/>
      <c r="G54" s="363"/>
    </row>
    <row r="55" spans="1:8" ht="14.25" customHeight="1" x14ac:dyDescent="0.2">
      <c r="A55" s="367" t="s">
        <v>141</v>
      </c>
      <c r="B55" s="367"/>
      <c r="C55" s="367"/>
      <c r="D55" s="367"/>
      <c r="E55" s="367"/>
      <c r="F55" s="367"/>
      <c r="G55" s="367"/>
    </row>
    <row r="56" spans="1:8" ht="14.25" customHeight="1" x14ac:dyDescent="0.2">
      <c r="A56" s="367"/>
      <c r="B56" s="367"/>
      <c r="C56" s="367"/>
      <c r="D56" s="367"/>
      <c r="E56" s="367"/>
      <c r="F56" s="367"/>
      <c r="G56" s="367"/>
    </row>
    <row r="57" spans="1:8" ht="14.25" customHeight="1" x14ac:dyDescent="0.2">
      <c r="A57" s="367"/>
      <c r="B57" s="367"/>
      <c r="C57" s="367"/>
      <c r="D57" s="367"/>
      <c r="E57" s="367"/>
      <c r="F57" s="367"/>
      <c r="G57" s="367"/>
    </row>
    <row r="58" spans="1:8" ht="13.5" customHeight="1" x14ac:dyDescent="0.2">
      <c r="A58" s="367" t="s">
        <v>142</v>
      </c>
      <c r="B58" s="367"/>
      <c r="C58" s="367"/>
      <c r="D58" s="367"/>
      <c r="E58" s="367"/>
      <c r="F58" s="367"/>
      <c r="G58" s="367"/>
    </row>
    <row r="59" spans="1:8" ht="13.5" customHeight="1" x14ac:dyDescent="0.2">
      <c r="A59" s="367"/>
      <c r="B59" s="367"/>
      <c r="C59" s="367"/>
      <c r="D59" s="367"/>
      <c r="E59" s="367"/>
      <c r="F59" s="367"/>
      <c r="G59" s="367"/>
    </row>
    <row r="60" spans="1:8" ht="15.75" customHeight="1" x14ac:dyDescent="0.2"/>
    <row r="61" spans="1:8" ht="15.75" customHeight="1" x14ac:dyDescent="0.2">
      <c r="A61" s="368" t="s">
        <v>31</v>
      </c>
      <c r="B61" s="369"/>
      <c r="C61" s="124">
        <v>0</v>
      </c>
      <c r="D61" s="96" t="s">
        <v>23</v>
      </c>
      <c r="E61" s="138" t="str">
        <f>IF(ABS(C61&lt;1.25),"","Error: starting roll too high.  Re-check.")</f>
        <v/>
      </c>
      <c r="G61" s="25"/>
    </row>
    <row r="62" spans="1:8" ht="15.75" customHeight="1" x14ac:dyDescent="0.2">
      <c r="A62" s="368" t="s">
        <v>32</v>
      </c>
      <c r="B62" s="369"/>
      <c r="C62" s="139">
        <v>0</v>
      </c>
      <c r="D62" s="96" t="s">
        <v>23</v>
      </c>
      <c r="E62" s="138" t="str">
        <f>IF(ABS(C62&lt;1.25),"","Error: ending roll too high. Re-check.")</f>
        <v/>
      </c>
      <c r="G62" s="25"/>
    </row>
    <row r="63" spans="1:8" ht="15.75" customHeight="1" x14ac:dyDescent="0.2">
      <c r="A63" s="158"/>
      <c r="B63" s="157"/>
      <c r="C63" s="140"/>
      <c r="E63" s="141"/>
      <c r="G63" s="25"/>
    </row>
    <row r="64" spans="1:8" ht="15.75" customHeight="1" x14ac:dyDescent="0.2">
      <c r="A64" s="368" t="s">
        <v>33</v>
      </c>
      <c r="B64" s="369"/>
      <c r="C64" s="142">
        <v>0</v>
      </c>
      <c r="D64" s="96" t="s">
        <v>10</v>
      </c>
      <c r="E64" s="138" t="str">
        <f>IF(C64&lt;0,"Error: Weight should be positive",IF(C64&gt;2000,"Error, weight seems to be too high.",""))</f>
        <v/>
      </c>
      <c r="G64" s="25"/>
    </row>
    <row r="65" spans="1:7" ht="15.75" customHeight="1" x14ac:dyDescent="0.2">
      <c r="A65" s="368" t="s">
        <v>34</v>
      </c>
      <c r="B65" s="369"/>
      <c r="C65" s="142">
        <v>0</v>
      </c>
      <c r="D65" s="96" t="s">
        <v>10</v>
      </c>
      <c r="E65" s="138" t="str">
        <f>IF(C65&lt;0,"Error: Weight should be positive",IF(C65&gt;2000,"Error, weight seems to be too high.",""))</f>
        <v/>
      </c>
      <c r="G65" s="25"/>
    </row>
    <row r="66" spans="1:7" ht="15.75" customHeight="1" x14ac:dyDescent="0.2">
      <c r="A66" s="368" t="s">
        <v>35</v>
      </c>
      <c r="B66" s="369"/>
      <c r="C66" s="143">
        <f>(C62-C61)/(PI()/180)</f>
        <v>0</v>
      </c>
      <c r="D66" s="96" t="s">
        <v>30</v>
      </c>
      <c r="E66" s="141"/>
      <c r="G66" s="25"/>
    </row>
    <row r="67" spans="1:7" ht="26.25" customHeight="1" x14ac:dyDescent="0.2">
      <c r="A67" s="378" t="s">
        <v>150</v>
      </c>
      <c r="B67" s="379"/>
      <c r="C67" s="144">
        <v>107</v>
      </c>
      <c r="D67" s="96" t="s">
        <v>15</v>
      </c>
      <c r="E67" s="138" t="str">
        <f>IF(C67&lt;107,"Error: distance should be greater than radius of hull",IF(C67&gt;600,"Error: distance too high.",""))</f>
        <v/>
      </c>
      <c r="G67" s="25"/>
    </row>
    <row r="68" spans="1:7" ht="15.75" customHeight="1" x14ac:dyDescent="0.2">
      <c r="A68" s="368" t="s">
        <v>36</v>
      </c>
      <c r="B68" s="368"/>
      <c r="C68" s="368"/>
      <c r="E68" s="141"/>
      <c r="G68" s="25"/>
    </row>
    <row r="69" spans="1:7" ht="15.75" customHeight="1" x14ac:dyDescent="0.2">
      <c r="A69" s="151"/>
      <c r="B69" s="157"/>
      <c r="C69" s="145"/>
      <c r="E69" s="141"/>
      <c r="G69" s="25"/>
    </row>
    <row r="70" spans="1:7" ht="15.75" customHeight="1" x14ac:dyDescent="0.2">
      <c r="A70" s="380" t="s">
        <v>16</v>
      </c>
      <c r="B70" s="381"/>
      <c r="C70" s="143" t="e">
        <f>((C64+C65)*C67)/(C29*1000*TAN(C66*(PI()/180)))</f>
        <v>#DIV/0!</v>
      </c>
      <c r="D70" s="96" t="s">
        <v>15</v>
      </c>
      <c r="E70" s="141"/>
      <c r="G70" s="25"/>
    </row>
    <row r="71" spans="1:7" ht="15.75" customHeight="1" x14ac:dyDescent="0.2">
      <c r="A71" s="156"/>
      <c r="B71" s="157"/>
      <c r="C71" s="146"/>
      <c r="E71" s="141"/>
      <c r="G71" s="25"/>
    </row>
    <row r="72" spans="1:7" ht="15.75" customHeight="1" x14ac:dyDescent="0.2">
      <c r="A72" s="380" t="s">
        <v>25</v>
      </c>
      <c r="B72" s="381"/>
      <c r="C72" s="244">
        <f>D44</f>
        <v>0</v>
      </c>
      <c r="D72" s="96" t="s">
        <v>22</v>
      </c>
      <c r="E72" s="138" t="str">
        <f>IF(C72=0,"",IF(C72&lt;4,"Error: weight of pitch battery too low. Re-check",IF(C72&gt;12,"Error: weight of pitch battery too high.  Re-check.","")))</f>
        <v/>
      </c>
      <c r="G72" s="25"/>
    </row>
    <row r="73" spans="1:7" ht="26.25" customHeight="1" x14ac:dyDescent="0.2">
      <c r="A73" s="378" t="s">
        <v>151</v>
      </c>
      <c r="B73" s="379"/>
      <c r="C73" s="142">
        <v>1</v>
      </c>
      <c r="D73" s="96" t="s">
        <v>24</v>
      </c>
      <c r="E73" s="138" t="str">
        <f>IF(C73=1,"","Error: range of pitch battery is usually +/- 1 inch")</f>
        <v/>
      </c>
      <c r="G73" s="25"/>
    </row>
    <row r="74" spans="1:7" ht="15.75" customHeight="1" x14ac:dyDescent="0.2">
      <c r="A74" s="368" t="s">
        <v>17</v>
      </c>
      <c r="B74" s="369"/>
      <c r="C74" s="143" t="e">
        <f>DEGREES(ATAN((C72*25.4*C73/C28)/C70))</f>
        <v>#DIV/0!</v>
      </c>
      <c r="D74" s="96" t="s">
        <v>18</v>
      </c>
      <c r="E74" s="141"/>
      <c r="G74" s="25"/>
    </row>
    <row r="75" spans="1:7" ht="15.75" customHeight="1" x14ac:dyDescent="0.2">
      <c r="A75" s="319"/>
      <c r="B75" s="320"/>
      <c r="C75" s="146"/>
      <c r="E75" s="141"/>
      <c r="G75" s="25"/>
    </row>
    <row r="76" spans="1:7" ht="15.75" customHeight="1" x14ac:dyDescent="0.2">
      <c r="A76" s="147" t="s">
        <v>171</v>
      </c>
      <c r="E76" s="141"/>
      <c r="G76" s="25"/>
    </row>
    <row r="77" spans="1:7" ht="5.25" customHeight="1" x14ac:dyDescent="0.2">
      <c r="E77" s="141"/>
      <c r="G77" s="25"/>
    </row>
    <row r="78" spans="1:7" ht="15.75" customHeight="1" x14ac:dyDescent="0.2">
      <c r="A78" s="96" t="s">
        <v>89</v>
      </c>
      <c r="E78" s="141"/>
      <c r="G78" s="25"/>
    </row>
    <row r="79" spans="1:7" ht="15.75" customHeight="1" x14ac:dyDescent="0.2">
      <c r="A79" s="96" t="s">
        <v>20</v>
      </c>
      <c r="E79" s="141"/>
      <c r="G79" s="25"/>
    </row>
    <row r="80" spans="1:7" ht="15.75" customHeight="1" x14ac:dyDescent="0.2">
      <c r="A80" s="96" t="s">
        <v>86</v>
      </c>
      <c r="E80" s="141"/>
      <c r="G80" s="25"/>
    </row>
    <row r="81" spans="1:7" ht="15.75" customHeight="1" x14ac:dyDescent="0.2">
      <c r="A81" s="96" t="s">
        <v>21</v>
      </c>
      <c r="E81" s="141"/>
      <c r="G81" s="25"/>
    </row>
    <row r="82" spans="1:7" ht="5.25" customHeight="1" x14ac:dyDescent="0.2">
      <c r="E82" s="141"/>
      <c r="G82" s="25"/>
    </row>
    <row r="83" spans="1:7" ht="15.75" customHeight="1" x14ac:dyDescent="0.2">
      <c r="A83" s="368" t="s">
        <v>25</v>
      </c>
      <c r="B83" s="369"/>
      <c r="C83" s="245">
        <f>D44</f>
        <v>0</v>
      </c>
      <c r="D83" s="96" t="s">
        <v>22</v>
      </c>
      <c r="E83" s="138" t="str">
        <f>IF(C83=0,"",IF(C83&lt;4,"Error: weight of pitch battery too low. Re-check",IF(C83&gt;12,"Error: weight of pitch battery too high.  Re-check.","")))</f>
        <v/>
      </c>
      <c r="G83" s="25"/>
    </row>
    <row r="84" spans="1:7" ht="15.75" customHeight="1" x14ac:dyDescent="0.2">
      <c r="A84" s="368" t="s">
        <v>26</v>
      </c>
      <c r="B84" s="369"/>
      <c r="C84" s="148">
        <v>0</v>
      </c>
      <c r="D84" s="96" t="s">
        <v>23</v>
      </c>
      <c r="E84" s="138" t="str">
        <f>IF(ABS(C84&lt;1.25),"","Error: starting pitch too high.  Re-check.")</f>
        <v/>
      </c>
      <c r="G84" s="25"/>
    </row>
    <row r="85" spans="1:7" ht="15.75" customHeight="1" x14ac:dyDescent="0.2">
      <c r="A85" s="368" t="s">
        <v>27</v>
      </c>
      <c r="B85" s="369"/>
      <c r="C85" s="148">
        <v>0</v>
      </c>
      <c r="D85" s="96" t="s">
        <v>24</v>
      </c>
      <c r="E85" s="138" t="str">
        <f>IF(ABS(C85)&gt;1.1,"Error, battery position out of range","")</f>
        <v/>
      </c>
      <c r="G85" s="25"/>
    </row>
    <row r="86" spans="1:7" ht="15.75" customHeight="1" x14ac:dyDescent="0.2">
      <c r="A86" s="368" t="s">
        <v>28</v>
      </c>
      <c r="B86" s="369"/>
      <c r="C86" s="148">
        <v>0</v>
      </c>
      <c r="D86" s="96" t="s">
        <v>23</v>
      </c>
      <c r="E86" s="138" t="str">
        <f>IF(ABS(C86&lt;1.25),"","Error: starting pitch too high.  Re-check.")</f>
        <v/>
      </c>
      <c r="G86" s="25"/>
    </row>
    <row r="87" spans="1:7" ht="15.75" customHeight="1" x14ac:dyDescent="0.2">
      <c r="A87" s="368" t="s">
        <v>29</v>
      </c>
      <c r="B87" s="369"/>
      <c r="C87" s="148">
        <v>0</v>
      </c>
      <c r="D87" s="96" t="s">
        <v>24</v>
      </c>
      <c r="E87" s="138" t="str">
        <f>IF(ABS(C87)&gt;1.1,"Error, battery position out of range","")</f>
        <v/>
      </c>
      <c r="G87" s="25"/>
    </row>
    <row r="88" spans="1:7" ht="15.75" customHeight="1" x14ac:dyDescent="0.2">
      <c r="A88" s="158"/>
      <c r="B88" s="157"/>
      <c r="E88" s="141"/>
      <c r="G88" s="25"/>
    </row>
    <row r="89" spans="1:7" ht="15.75" customHeight="1" x14ac:dyDescent="0.2">
      <c r="A89" s="380" t="s">
        <v>41</v>
      </c>
      <c r="B89" s="380"/>
      <c r="C89" s="243" t="e">
        <f>ABS(1000*25.4*(C85-C87)*(C83+0.1)/(C29*C38*TAN(C84-C86)))</f>
        <v>#DIV/0!</v>
      </c>
      <c r="D89" s="128" t="s">
        <v>15</v>
      </c>
      <c r="E89" s="141"/>
      <c r="G89" s="25"/>
    </row>
    <row r="90" spans="1:7" ht="8.25" customHeight="1" x14ac:dyDescent="0.2">
      <c r="A90" s="158"/>
      <c r="B90" s="157"/>
      <c r="E90" s="141"/>
      <c r="G90" s="25"/>
    </row>
    <row r="91" spans="1:7" ht="26.25" customHeight="1" x14ac:dyDescent="0.2">
      <c r="A91" s="378" t="s">
        <v>151</v>
      </c>
      <c r="B91" s="379"/>
      <c r="C91" s="142">
        <v>1</v>
      </c>
      <c r="D91" s="96" t="s">
        <v>24</v>
      </c>
      <c r="E91" s="138" t="str">
        <f>IF(C91=1,"","Error: range of pitch battery is usually +/- 1 inch")</f>
        <v/>
      </c>
      <c r="G91" s="25"/>
    </row>
    <row r="92" spans="1:7" ht="15.75" customHeight="1" x14ac:dyDescent="0.2">
      <c r="A92" s="368" t="s">
        <v>17</v>
      </c>
      <c r="B92" s="369"/>
      <c r="C92" s="143" t="e">
        <f>DEGREES(ATAN((C91*25.4*C83/C28)/C89))</f>
        <v>#DIV/0!</v>
      </c>
      <c r="D92" s="96" t="s">
        <v>18</v>
      </c>
      <c r="G92" s="25"/>
    </row>
    <row r="93" spans="1:7" ht="15.75" customHeight="1" x14ac:dyDescent="0.2">
      <c r="A93" s="121"/>
      <c r="B93" s="146"/>
      <c r="D93" s="115"/>
      <c r="E93" s="330"/>
      <c r="F93" s="115"/>
      <c r="G93" s="328"/>
    </row>
    <row r="94" spans="1:7" ht="15.75" customHeight="1" thickBot="1" x14ac:dyDescent="0.25">
      <c r="A94" s="121"/>
      <c r="B94" s="146"/>
      <c r="D94" s="115" t="s">
        <v>152</v>
      </c>
      <c r="E94" s="185"/>
      <c r="F94" s="115" t="s">
        <v>1</v>
      </c>
      <c r="G94" s="186"/>
    </row>
  </sheetData>
  <sheetProtection password="DA1B" sheet="1" objects="1" scenarios="1"/>
  <mergeCells count="57">
    <mergeCell ref="A87:B87"/>
    <mergeCell ref="A89:B89"/>
    <mergeCell ref="A91:B91"/>
    <mergeCell ref="A92:B92"/>
    <mergeCell ref="D43:E43"/>
    <mergeCell ref="A43:B43"/>
    <mergeCell ref="A44:B44"/>
    <mergeCell ref="A46:B46"/>
    <mergeCell ref="A47:B47"/>
    <mergeCell ref="D44:E44"/>
    <mergeCell ref="D46:E46"/>
    <mergeCell ref="D47:E47"/>
    <mergeCell ref="A74:B74"/>
    <mergeCell ref="A83:B83"/>
    <mergeCell ref="A84:B84"/>
    <mergeCell ref="A85:B85"/>
    <mergeCell ref="A62:B62"/>
    <mergeCell ref="A64:B64"/>
    <mergeCell ref="A65:B65"/>
    <mergeCell ref="A66:B66"/>
    <mergeCell ref="A86:B86"/>
    <mergeCell ref="A67:B67"/>
    <mergeCell ref="A68:C68"/>
    <mergeCell ref="A70:B70"/>
    <mergeCell ref="A72:B72"/>
    <mergeCell ref="A73:B73"/>
    <mergeCell ref="A55:G57"/>
    <mergeCell ref="A58:G59"/>
    <mergeCell ref="A32:B32"/>
    <mergeCell ref="A54:G54"/>
    <mergeCell ref="A61:B61"/>
    <mergeCell ref="A53:G53"/>
    <mergeCell ref="A33:B33"/>
    <mergeCell ref="A34:B34"/>
    <mergeCell ref="A35:B35"/>
    <mergeCell ref="A37:B37"/>
    <mergeCell ref="A38:B38"/>
    <mergeCell ref="A40:B40"/>
    <mergeCell ref="A41:B41"/>
    <mergeCell ref="A42:B42"/>
    <mergeCell ref="A45:B45"/>
    <mergeCell ref="D45:E45"/>
    <mergeCell ref="A28:B28"/>
    <mergeCell ref="A29:B29"/>
    <mergeCell ref="A51:G51"/>
    <mergeCell ref="A52:G52"/>
    <mergeCell ref="A17:A24"/>
    <mergeCell ref="A48:H48"/>
    <mergeCell ref="E7:H7"/>
    <mergeCell ref="A7:D7"/>
    <mergeCell ref="A14:B14"/>
    <mergeCell ref="A15:B15"/>
    <mergeCell ref="A16:B16"/>
    <mergeCell ref="A13:B13"/>
    <mergeCell ref="A10:H10"/>
    <mergeCell ref="A9:H9"/>
    <mergeCell ref="A11:H11"/>
  </mergeCells>
  <phoneticPr fontId="0" type="noConversion"/>
  <dataValidations count="7">
    <dataValidation type="list" allowBlank="1" showInputMessage="1" promptTitle="Select Glider Type" prompt="from drop-down menu" sqref="C16">
      <formula1>glider_type</formula1>
    </dataValidation>
    <dataValidation type="list" allowBlank="1" showInputMessage="1" showErrorMessage="1" promptTitle="Select Battery Type" prompt="from drop-down menu" sqref="C43">
      <formula1>battery_type</formula1>
    </dataValidation>
    <dataValidation type="list" allowBlank="1" showInputMessage="1" promptTitle="Select Aft Configuration" prompt="from drop-down menu" sqref="C46">
      <formula1>aft_config</formula1>
    </dataValidation>
    <dataValidation type="list" allowBlank="1" showInputMessage="1" promptTitle="Select Nose Configuration" prompt="from drop-down menu" sqref="C47">
      <formula1>nose_config</formula1>
    </dataValidation>
    <dataValidation type="list" allowBlank="1" showInputMessage="1" showErrorMessage="1" promptTitle="Select Weight Material" prompt="from the drop-down menu" sqref="C40">
      <formula1>weight_type</formula1>
    </dataValidation>
    <dataValidation type="list" allowBlank="1" showInputMessage="1" promptTitle="Select Pond Wings" prompt="from drop-down menu" sqref="C25">
      <formula1>pond_wings</formula1>
    </dataValidation>
    <dataValidation type="list" allowBlank="1" showInputMessage="1" promptTitle="Select Pinger" prompt="from drop-down menu" sqref="C26">
      <formula1>pinger_style</formula1>
    </dataValidation>
  </dataValidations>
  <pageMargins left="0.75" right="0.25" top="0.25" bottom="0.75" header="0.3" footer="0.3"/>
  <pageSetup scale="75" orientation="portrait" horizontalDpi="1200" verticalDpi="1200" r:id="rId1"/>
  <headerFooter alignWithMargins="0"/>
  <rowBreaks count="1" manualBreakCount="1">
    <brk id="4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xdr:col>
                    <xdr:colOff>466725</xdr:colOff>
                    <xdr:row>18</xdr:row>
                    <xdr:rowOff>85725</xdr:rowOff>
                  </from>
                  <to>
                    <xdr:col>2</xdr:col>
                    <xdr:colOff>704850</xdr:colOff>
                    <xdr:row>18</xdr:row>
                    <xdr:rowOff>247650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xdr:col>
                    <xdr:colOff>285750</xdr:colOff>
                    <xdr:row>17</xdr:row>
                    <xdr:rowOff>85725</xdr:rowOff>
                  </from>
                  <to>
                    <xdr:col>2</xdr:col>
                    <xdr:colOff>504825</xdr:colOff>
                    <xdr:row>17</xdr:row>
                    <xdr:rowOff>257175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2</xdr:col>
                    <xdr:colOff>295275</xdr:colOff>
                    <xdr:row>19</xdr:row>
                    <xdr:rowOff>85725</xdr:rowOff>
                  </from>
                  <to>
                    <xdr:col>2</xdr:col>
                    <xdr:colOff>514350</xdr:colOff>
                    <xdr:row>19</xdr:row>
                    <xdr:rowOff>247650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xdr:col>
                    <xdr:colOff>285750</xdr:colOff>
                    <xdr:row>16</xdr:row>
                    <xdr:rowOff>57150</xdr:rowOff>
                  </from>
                  <to>
                    <xdr:col>2</xdr:col>
                    <xdr:colOff>514350</xdr:colOff>
                    <xdr:row>16</xdr:row>
                    <xdr:rowOff>285750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2</xdr:col>
                    <xdr:colOff>923925</xdr:colOff>
                    <xdr:row>16</xdr:row>
                    <xdr:rowOff>57150</xdr:rowOff>
                  </from>
                  <to>
                    <xdr:col>3</xdr:col>
                    <xdr:colOff>0</xdr:colOff>
                    <xdr:row>16</xdr:row>
                    <xdr:rowOff>285750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2</xdr:col>
                    <xdr:colOff>933450</xdr:colOff>
                    <xdr:row>17</xdr:row>
                    <xdr:rowOff>85725</xdr:rowOff>
                  </from>
                  <to>
                    <xdr:col>2</xdr:col>
                    <xdr:colOff>1152525</xdr:colOff>
                    <xdr:row>17</xdr:row>
                    <xdr:rowOff>257175</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2</xdr:col>
                    <xdr:colOff>466725</xdr:colOff>
                    <xdr:row>21</xdr:row>
                    <xdr:rowOff>85725</xdr:rowOff>
                  </from>
                  <to>
                    <xdr:col>2</xdr:col>
                    <xdr:colOff>685800</xdr:colOff>
                    <xdr:row>21</xdr:row>
                    <xdr:rowOff>247650</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2</xdr:col>
                    <xdr:colOff>466725</xdr:colOff>
                    <xdr:row>20</xdr:row>
                    <xdr:rowOff>85725</xdr:rowOff>
                  </from>
                  <to>
                    <xdr:col>2</xdr:col>
                    <xdr:colOff>685800</xdr:colOff>
                    <xdr:row>20</xdr:row>
                    <xdr:rowOff>247650</xdr:rowOff>
                  </to>
                </anchor>
              </controlPr>
            </control>
          </mc:Choice>
        </mc:AlternateContent>
        <mc:AlternateContent xmlns:mc="http://schemas.openxmlformats.org/markup-compatibility/2006">
          <mc:Choice Requires="x14">
            <control shapeId="1062" r:id="rId12" name="Check Box 38">
              <controlPr defaultSize="0" autoFill="0" autoLine="0" autoPict="0">
                <anchor moveWithCells="1">
                  <from>
                    <xdr:col>2</xdr:col>
                    <xdr:colOff>466725</xdr:colOff>
                    <xdr:row>22</xdr:row>
                    <xdr:rowOff>85725</xdr:rowOff>
                  </from>
                  <to>
                    <xdr:col>2</xdr:col>
                    <xdr:colOff>685800</xdr:colOff>
                    <xdr:row>22</xdr:row>
                    <xdr:rowOff>247650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2</xdr:col>
                    <xdr:colOff>466725</xdr:colOff>
                    <xdr:row>23</xdr:row>
                    <xdr:rowOff>85725</xdr:rowOff>
                  </from>
                  <to>
                    <xdr:col>2</xdr:col>
                    <xdr:colOff>685800</xdr:colOff>
                    <xdr:row>23</xdr:row>
                    <xdr:rowOff>247650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2</xdr:col>
                    <xdr:colOff>942975</xdr:colOff>
                    <xdr:row>19</xdr:row>
                    <xdr:rowOff>85725</xdr:rowOff>
                  </from>
                  <to>
                    <xdr:col>3</xdr:col>
                    <xdr:colOff>0</xdr:colOff>
                    <xdr:row>19</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Constants!$E$2:$E$3</xm:f>
          </x14:formula1>
          <xm:sqref>C45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C26" sqref="C26"/>
    </sheetView>
  </sheetViews>
  <sheetFormatPr defaultRowHeight="12.75" x14ac:dyDescent="0.2"/>
  <cols>
    <col min="1" max="1" width="30.42578125" style="97" customWidth="1"/>
    <col min="2" max="2" width="26" style="97" bestFit="1" customWidth="1"/>
    <col min="3" max="3" width="24.140625" style="97" customWidth="1"/>
    <col min="4" max="4" width="20.7109375" style="97" customWidth="1"/>
    <col min="5" max="5" width="23.140625" style="97" customWidth="1"/>
    <col min="6" max="6" width="23.28515625" style="97" customWidth="1"/>
    <col min="7" max="7" width="18.7109375" style="97" customWidth="1"/>
    <col min="8" max="8" width="13.7109375" style="97" customWidth="1"/>
    <col min="9" max="9" width="30.7109375" style="97" customWidth="1"/>
    <col min="10" max="10" width="13.28515625" style="97" customWidth="1"/>
    <col min="11" max="11" width="24.85546875" style="97" customWidth="1"/>
    <col min="12" max="16384" width="9.140625" style="97"/>
  </cols>
  <sheetData>
    <row r="1" spans="1:15" ht="36.75" customHeight="1" thickBot="1" x14ac:dyDescent="0.25">
      <c r="A1" s="250" t="s">
        <v>118</v>
      </c>
      <c r="B1" s="250" t="s">
        <v>180</v>
      </c>
      <c r="C1" s="152" t="s">
        <v>144</v>
      </c>
      <c r="D1" s="152" t="s">
        <v>153</v>
      </c>
      <c r="E1" s="267" t="s">
        <v>210</v>
      </c>
      <c r="F1" s="152" t="s">
        <v>154</v>
      </c>
      <c r="G1" s="152" t="s">
        <v>162</v>
      </c>
      <c r="H1" s="351" t="s">
        <v>234</v>
      </c>
      <c r="I1" s="351" t="s">
        <v>239</v>
      </c>
      <c r="J1" s="351" t="s">
        <v>240</v>
      </c>
      <c r="K1" s="351" t="s">
        <v>241</v>
      </c>
    </row>
    <row r="2" spans="1:15" ht="24.75" customHeight="1" thickTop="1" x14ac:dyDescent="0.2">
      <c r="A2" s="99" t="s">
        <v>119</v>
      </c>
      <c r="B2" s="113">
        <f>52-D11</f>
        <v>42.52115858655317</v>
      </c>
      <c r="C2" s="153" t="s">
        <v>145</v>
      </c>
      <c r="D2" s="153" t="s">
        <v>155</v>
      </c>
      <c r="E2" s="153" t="s">
        <v>177</v>
      </c>
      <c r="F2" s="153" t="s">
        <v>159</v>
      </c>
      <c r="G2" s="153" t="s">
        <v>163</v>
      </c>
      <c r="H2" s="352" t="s">
        <v>235</v>
      </c>
      <c r="I2" s="352">
        <v>1.6</v>
      </c>
      <c r="J2" s="354" t="s">
        <v>242</v>
      </c>
      <c r="K2" s="353">
        <v>0.43</v>
      </c>
    </row>
    <row r="3" spans="1:15" ht="30" customHeight="1" x14ac:dyDescent="0.2">
      <c r="A3" s="98" t="s">
        <v>120</v>
      </c>
      <c r="B3" s="114">
        <f>55.2-D13</f>
        <v>44.924130132398517</v>
      </c>
      <c r="C3" s="154" t="s">
        <v>146</v>
      </c>
      <c r="D3" s="154" t="s">
        <v>156</v>
      </c>
      <c r="E3" s="268" t="s">
        <v>211</v>
      </c>
      <c r="F3" s="154" t="s">
        <v>160</v>
      </c>
      <c r="G3" s="154" t="s">
        <v>164</v>
      </c>
      <c r="H3" s="349" t="s">
        <v>236</v>
      </c>
      <c r="I3" s="349">
        <v>1.5</v>
      </c>
      <c r="J3" s="355" t="s">
        <v>243</v>
      </c>
      <c r="K3" s="350">
        <v>0.68</v>
      </c>
      <c r="L3" s="155"/>
      <c r="O3" s="155"/>
    </row>
    <row r="4" spans="1:15" ht="24.75" customHeight="1" x14ac:dyDescent="0.2">
      <c r="A4" s="98" t="s">
        <v>178</v>
      </c>
      <c r="B4" s="114">
        <f>56.3-D13</f>
        <v>46.024130132398511</v>
      </c>
      <c r="C4" s="154"/>
      <c r="D4" s="154" t="s">
        <v>157</v>
      </c>
      <c r="E4" s="154"/>
      <c r="F4" s="154" t="s">
        <v>161</v>
      </c>
      <c r="G4" s="154"/>
      <c r="H4" s="349" t="s">
        <v>237</v>
      </c>
      <c r="I4" s="349">
        <v>2</v>
      </c>
      <c r="J4" s="355" t="s">
        <v>244</v>
      </c>
      <c r="K4" s="350">
        <v>0.43</v>
      </c>
      <c r="L4" s="155"/>
      <c r="O4" s="155"/>
    </row>
    <row r="5" spans="1:15" ht="24.75" customHeight="1" x14ac:dyDescent="0.2">
      <c r="A5" s="98" t="s">
        <v>121</v>
      </c>
      <c r="B5" s="114">
        <f>56.3-D13</f>
        <v>46.024130132398511</v>
      </c>
      <c r="C5" s="98"/>
      <c r="D5" s="154" t="s">
        <v>158</v>
      </c>
      <c r="E5" s="154"/>
      <c r="F5" s="154" t="s">
        <v>213</v>
      </c>
      <c r="G5" s="98"/>
      <c r="H5" s="349" t="s">
        <v>238</v>
      </c>
      <c r="I5" s="349">
        <v>2.2999999999999998</v>
      </c>
      <c r="J5" s="355" t="s">
        <v>245</v>
      </c>
      <c r="K5" s="350">
        <v>0.43</v>
      </c>
      <c r="L5" s="155"/>
      <c r="O5" s="155"/>
    </row>
    <row r="6" spans="1:15" ht="24.75" customHeight="1" x14ac:dyDescent="0.2">
      <c r="A6" s="154" t="s">
        <v>221</v>
      </c>
      <c r="B6" s="114">
        <f>56.3-D13</f>
        <v>46.024130132398511</v>
      </c>
      <c r="C6" s="154"/>
      <c r="D6" s="154" t="s">
        <v>212</v>
      </c>
      <c r="E6" s="154"/>
      <c r="F6" s="154"/>
      <c r="G6" s="154"/>
      <c r="H6" s="350"/>
      <c r="I6" s="350"/>
      <c r="J6" s="355" t="s">
        <v>246</v>
      </c>
      <c r="K6" s="350">
        <v>0.08</v>
      </c>
      <c r="L6" s="155"/>
      <c r="O6" s="155"/>
    </row>
    <row r="7" spans="1:15" ht="24.75" customHeight="1" x14ac:dyDescent="0.2">
      <c r="A7" s="154"/>
      <c r="B7" s="114"/>
      <c r="C7" s="98"/>
      <c r="D7" s="98"/>
      <c r="E7" s="98"/>
      <c r="F7" s="98"/>
      <c r="G7" s="98"/>
      <c r="H7" s="350"/>
      <c r="I7" s="350"/>
      <c r="J7" s="350"/>
      <c r="K7" s="350"/>
      <c r="L7" s="155"/>
    </row>
    <row r="8" spans="1:15" ht="22.5" customHeight="1" x14ac:dyDescent="0.2">
      <c r="A8" s="96"/>
      <c r="B8" s="96"/>
      <c r="C8" s="96"/>
      <c r="D8" s="96"/>
      <c r="E8" s="96"/>
    </row>
    <row r="9" spans="1:15" ht="24.75" customHeight="1" x14ac:dyDescent="0.2">
      <c r="A9" s="403"/>
      <c r="B9" s="400" t="s">
        <v>197</v>
      </c>
      <c r="C9" s="399" t="s">
        <v>127</v>
      </c>
      <c r="D9" s="399"/>
      <c r="E9" s="399" t="s">
        <v>126</v>
      </c>
    </row>
    <row r="10" spans="1:15" ht="24.75" customHeight="1" thickBot="1" x14ac:dyDescent="0.25">
      <c r="A10" s="404"/>
      <c r="B10" s="401"/>
      <c r="C10" s="250" t="s">
        <v>123</v>
      </c>
      <c r="D10" s="102" t="s">
        <v>124</v>
      </c>
      <c r="E10" s="402"/>
    </row>
    <row r="11" spans="1:15" ht="24.75" customHeight="1" thickTop="1" x14ac:dyDescent="0.2">
      <c r="A11" s="101" t="s">
        <v>202</v>
      </c>
      <c r="B11" s="99">
        <v>10.5</v>
      </c>
      <c r="C11" s="233">
        <f>B11*(8.375/2)^2*PI()</f>
        <v>578.42733957276607</v>
      </c>
      <c r="D11" s="233">
        <f t="shared" ref="D11:D16" si="0">C11/61.023</f>
        <v>9.4788414134468315</v>
      </c>
      <c r="E11" s="103" t="b">
        <v>0</v>
      </c>
    </row>
    <row r="12" spans="1:15" ht="24.75" customHeight="1" x14ac:dyDescent="0.2">
      <c r="A12" s="101" t="s">
        <v>203</v>
      </c>
      <c r="B12" s="99">
        <v>10</v>
      </c>
      <c r="C12" s="233">
        <f>B12*(8.375/2)^2*PI()</f>
        <v>550.88318054549143</v>
      </c>
      <c r="D12" s="233">
        <f t="shared" si="0"/>
        <v>9.027468012806505</v>
      </c>
      <c r="E12" s="103" t="b">
        <v>0</v>
      </c>
    </row>
    <row r="13" spans="1:15" ht="24.75" customHeight="1" x14ac:dyDescent="0.2">
      <c r="A13" s="101" t="s">
        <v>199</v>
      </c>
      <c r="B13" s="99">
        <v>10.5</v>
      </c>
      <c r="C13" s="233">
        <f t="shared" ref="C13:C16" si="1">B13*(8.72/2)^2*PI()</f>
        <v>627.06440693064565</v>
      </c>
      <c r="D13" s="233">
        <f t="shared" si="0"/>
        <v>10.275869867601488</v>
      </c>
      <c r="E13" s="103" t="b">
        <v>0</v>
      </c>
    </row>
    <row r="14" spans="1:15" ht="24.75" customHeight="1" x14ac:dyDescent="0.2">
      <c r="A14" s="101" t="s">
        <v>198</v>
      </c>
      <c r="B14" s="99">
        <v>10</v>
      </c>
      <c r="C14" s="233">
        <f t="shared" si="1"/>
        <v>597.20419707680537</v>
      </c>
      <c r="D14" s="233">
        <f t="shared" si="0"/>
        <v>9.7865427310490354</v>
      </c>
      <c r="E14" s="103" t="b">
        <v>0</v>
      </c>
    </row>
    <row r="15" spans="1:15" ht="24.75" customHeight="1" x14ac:dyDescent="0.2">
      <c r="A15" s="100" t="s">
        <v>201</v>
      </c>
      <c r="B15" s="98">
        <v>14.85</v>
      </c>
      <c r="C15" s="234">
        <f t="shared" si="1"/>
        <v>886.84823265905595</v>
      </c>
      <c r="D15" s="234">
        <f t="shared" si="0"/>
        <v>14.533015955607819</v>
      </c>
      <c r="E15" s="104" t="b">
        <v>0</v>
      </c>
    </row>
    <row r="16" spans="1:15" ht="24.75" customHeight="1" x14ac:dyDescent="0.2">
      <c r="A16" s="100" t="s">
        <v>233</v>
      </c>
      <c r="B16" s="98">
        <v>5.75</v>
      </c>
      <c r="C16" s="234">
        <f t="shared" si="1"/>
        <v>343.3924133191631</v>
      </c>
      <c r="D16" s="234">
        <f t="shared" si="0"/>
        <v>5.6272620703531961</v>
      </c>
      <c r="E16" s="104" t="b">
        <v>0</v>
      </c>
    </row>
    <row r="17" spans="1:8" ht="24.75" customHeight="1" x14ac:dyDescent="0.2">
      <c r="A17" s="100" t="s">
        <v>232</v>
      </c>
      <c r="B17" s="98">
        <v>5.75</v>
      </c>
      <c r="C17" s="234">
        <f t="shared" ref="C17" si="2">B17*(8.72/2)^2*PI()</f>
        <v>343.3924133191631</v>
      </c>
      <c r="D17" s="234">
        <f t="shared" ref="D17" si="3">C17/61.023</f>
        <v>5.6272620703531961</v>
      </c>
      <c r="E17" s="104" t="b">
        <v>0</v>
      </c>
      <c r="H17" s="155"/>
    </row>
    <row r="18" spans="1:8" ht="24.75" customHeight="1" x14ac:dyDescent="0.2">
      <c r="A18" s="100" t="s">
        <v>247</v>
      </c>
      <c r="B18" s="98">
        <v>15.75</v>
      </c>
      <c r="C18" s="234">
        <f t="shared" ref="C18" si="4">B18*(8.72/2)^2*PI()</f>
        <v>940.59661039596847</v>
      </c>
      <c r="D18" s="234">
        <f t="shared" ref="D18" si="5">C18/61.023</f>
        <v>15.413804801402232</v>
      </c>
      <c r="E18" s="104" t="b">
        <v>0</v>
      </c>
      <c r="H18" s="155"/>
    </row>
    <row r="19" spans="1:8" ht="24.75" customHeight="1" x14ac:dyDescent="0.2">
      <c r="A19" s="100" t="s">
        <v>181</v>
      </c>
      <c r="B19" s="263" t="s">
        <v>177</v>
      </c>
      <c r="C19" s="264" t="s">
        <v>177</v>
      </c>
      <c r="D19" s="234">
        <v>0.432</v>
      </c>
      <c r="E19" s="262" t="b">
        <v>0</v>
      </c>
      <c r="H19" s="155"/>
    </row>
    <row r="20" spans="1:8" ht="24.75" customHeight="1" x14ac:dyDescent="0.2">
      <c r="A20" s="100" t="s">
        <v>219</v>
      </c>
      <c r="B20" s="263" t="s">
        <v>177</v>
      </c>
      <c r="C20" s="264" t="s">
        <v>177</v>
      </c>
      <c r="D20" s="234">
        <v>5.58</v>
      </c>
      <c r="E20" s="262" t="b">
        <v>0</v>
      </c>
      <c r="H20" s="155"/>
    </row>
    <row r="21" spans="1:8" ht="24.75" customHeight="1" x14ac:dyDescent="0.2">
      <c r="A21" s="100" t="s">
        <v>220</v>
      </c>
      <c r="B21" s="263" t="s">
        <v>177</v>
      </c>
      <c r="C21" s="264" t="s">
        <v>177</v>
      </c>
      <c r="D21" s="234">
        <v>1.48</v>
      </c>
      <c r="E21" s="262" t="b">
        <v>0</v>
      </c>
      <c r="H21" s="155"/>
    </row>
    <row r="22" spans="1:8" x14ac:dyDescent="0.2">
      <c r="A22" s="149"/>
      <c r="B22" s="149"/>
      <c r="C22" s="149"/>
      <c r="D22" s="149"/>
      <c r="E22" s="149"/>
      <c r="F22" s="149"/>
    </row>
    <row r="23" spans="1:8" x14ac:dyDescent="0.2">
      <c r="A23" s="115"/>
      <c r="B23" s="116"/>
      <c r="C23" s="116"/>
      <c r="D23" s="116"/>
      <c r="E23" s="150"/>
      <c r="F23" s="149"/>
    </row>
    <row r="24" spans="1:8" x14ac:dyDescent="0.2">
      <c r="A24" s="115"/>
      <c r="B24" s="116"/>
      <c r="C24" s="116"/>
      <c r="D24" s="116"/>
      <c r="E24" s="150"/>
      <c r="F24" s="149"/>
      <c r="H24" s="155"/>
    </row>
    <row r="25" spans="1:8" x14ac:dyDescent="0.2">
      <c r="A25" s="149"/>
      <c r="B25" s="149"/>
      <c r="C25" s="149"/>
      <c r="D25" s="149"/>
      <c r="E25" s="149"/>
      <c r="F25" s="149"/>
      <c r="H25" s="155"/>
    </row>
    <row r="26" spans="1:8" x14ac:dyDescent="0.2">
      <c r="A26" s="149"/>
      <c r="B26" s="149"/>
      <c r="C26" s="149"/>
      <c r="D26" s="149"/>
      <c r="E26" s="149"/>
      <c r="F26" s="149"/>
    </row>
    <row r="27" spans="1:8" x14ac:dyDescent="0.2">
      <c r="A27" s="149"/>
      <c r="B27" s="149"/>
      <c r="C27" s="149"/>
      <c r="D27" s="149"/>
      <c r="E27" s="149"/>
      <c r="F27" s="149"/>
    </row>
  </sheetData>
  <mergeCells count="4">
    <mergeCell ref="C9:D9"/>
    <mergeCell ref="B9:B10"/>
    <mergeCell ref="E9:E10"/>
    <mergeCell ref="A9:A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Normal="100" zoomScaleSheetLayoutView="115" workbookViewId="0"/>
  </sheetViews>
  <sheetFormatPr defaultRowHeight="12.75" x14ac:dyDescent="0.2"/>
  <cols>
    <col min="1" max="1" width="1" style="97" customWidth="1"/>
    <col min="2" max="2" width="25.85546875" style="97" customWidth="1"/>
    <col min="3" max="3" width="14.7109375" style="97" customWidth="1"/>
    <col min="4" max="5" width="13.28515625" style="97" customWidth="1"/>
    <col min="6" max="6" width="24.42578125" style="97" customWidth="1"/>
    <col min="7" max="7" width="15.7109375" style="97" customWidth="1"/>
    <col min="8" max="8" width="3.7109375" style="97" customWidth="1"/>
    <col min="9" max="16384" width="9.140625" style="97"/>
  </cols>
  <sheetData>
    <row r="1" spans="1:8" customFormat="1" ht="20.25" customHeight="1" x14ac:dyDescent="0.2">
      <c r="B1" s="25"/>
      <c r="C1" s="25"/>
      <c r="D1" s="25"/>
      <c r="E1" s="96"/>
      <c r="F1" s="177" t="s">
        <v>167</v>
      </c>
      <c r="G1" s="178" t="str">
        <f>Ballast!$H$1</f>
        <v>4095-GBPSH</v>
      </c>
      <c r="H1" s="25"/>
    </row>
    <row r="2" spans="1:8" customFormat="1" ht="20.25" customHeight="1" x14ac:dyDescent="0.2">
      <c r="B2" s="25"/>
      <c r="C2" s="25"/>
      <c r="D2" s="25"/>
      <c r="E2" s="96"/>
      <c r="F2" s="179" t="s">
        <v>168</v>
      </c>
      <c r="G2" s="180" t="str">
        <f>Ballast!$H$2</f>
        <v>F</v>
      </c>
      <c r="H2" s="25"/>
    </row>
    <row r="3" spans="1:8" customFormat="1" ht="20.25" customHeight="1" x14ac:dyDescent="0.2">
      <c r="B3" s="25"/>
      <c r="C3" s="25"/>
      <c r="D3" s="25"/>
      <c r="E3" s="96"/>
      <c r="F3" s="179" t="s">
        <v>1</v>
      </c>
      <c r="G3" s="181">
        <f>Ballast!$H$3</f>
        <v>41813</v>
      </c>
      <c r="H3" s="25"/>
    </row>
    <row r="4" spans="1:8" customFormat="1" ht="20.25" customHeight="1" thickBot="1" x14ac:dyDescent="0.25">
      <c r="B4" s="25"/>
      <c r="C4" s="25"/>
      <c r="D4" s="25"/>
      <c r="E4" s="96"/>
      <c r="F4" s="182" t="s">
        <v>169</v>
      </c>
      <c r="G4" s="183">
        <f>Ballast!$H$4</f>
        <v>12698</v>
      </c>
      <c r="H4" s="25"/>
    </row>
    <row r="5" spans="1:8" customFormat="1" ht="7.5" customHeight="1" thickBot="1" x14ac:dyDescent="0.25">
      <c r="B5" s="25"/>
      <c r="C5" s="25"/>
      <c r="D5" s="25"/>
      <c r="E5" s="25"/>
      <c r="F5" s="25"/>
      <c r="G5" s="25"/>
      <c r="H5" s="25"/>
    </row>
    <row r="6" spans="1:8" ht="24.75" customHeight="1" thickTop="1" x14ac:dyDescent="0.2">
      <c r="A6" s="261"/>
      <c r="B6" s="302" t="s">
        <v>101</v>
      </c>
      <c r="C6" s="184"/>
      <c r="D6" s="184"/>
      <c r="E6" s="184"/>
      <c r="F6" s="184"/>
      <c r="G6" s="184"/>
      <c r="H6" s="184"/>
    </row>
    <row r="7" spans="1:8" ht="15" customHeight="1" x14ac:dyDescent="0.2">
      <c r="B7" s="285" t="s">
        <v>0</v>
      </c>
      <c r="C7" s="286" t="str">
        <f>IF(ISBLANK(Ballast!C13),"",Ballast!C13)</f>
        <v/>
      </c>
      <c r="D7" s="287"/>
      <c r="E7" s="287"/>
      <c r="F7" s="287"/>
      <c r="G7" s="287"/>
      <c r="H7" s="158"/>
    </row>
    <row r="8" spans="1:8" ht="15" customHeight="1" x14ac:dyDescent="0.2">
      <c r="B8" s="285" t="s">
        <v>138</v>
      </c>
      <c r="C8" s="288" t="str">
        <f>IF(ISBLANK(Ballast!C14),"",Ballast!C14)</f>
        <v/>
      </c>
      <c r="D8" s="289"/>
      <c r="E8" s="290"/>
      <c r="F8" s="288"/>
      <c r="G8" s="288"/>
      <c r="H8" s="158"/>
    </row>
    <row r="9" spans="1:8" ht="15" customHeight="1" x14ac:dyDescent="0.2">
      <c r="B9" s="285" t="s">
        <v>1</v>
      </c>
      <c r="C9" s="291" t="str">
        <f>IF(ISBLANK(Ballast!C15),"",Ballast!C15)</f>
        <v/>
      </c>
      <c r="D9" s="289"/>
      <c r="E9" s="290"/>
      <c r="F9" s="288"/>
      <c r="G9" s="288"/>
      <c r="H9" s="151"/>
    </row>
    <row r="10" spans="1:8" ht="15" customHeight="1" x14ac:dyDescent="0.2">
      <c r="B10" s="292" t="s">
        <v>130</v>
      </c>
      <c r="C10" s="293" t="str">
        <f>IF(Ballast!C29=0,"",Ballast!C29)</f>
        <v/>
      </c>
      <c r="D10" s="294"/>
      <c r="E10" s="290"/>
      <c r="F10" s="295"/>
      <c r="G10" s="296"/>
      <c r="H10" s="158"/>
    </row>
    <row r="11" spans="1:8" ht="15" customHeight="1" x14ac:dyDescent="0.2">
      <c r="B11" s="285" t="s">
        <v>136</v>
      </c>
      <c r="C11" s="297" t="str">
        <f>IF(ISERROR(Ballast!C70),IF(ISERROR(Ballast!C89),"",Ballast!C89),Ballast!C70)</f>
        <v/>
      </c>
      <c r="D11" s="290"/>
      <c r="E11" s="298"/>
      <c r="F11" s="290"/>
      <c r="G11" s="290"/>
      <c r="H11" s="158"/>
    </row>
    <row r="12" spans="1:8" ht="8.25" customHeight="1" x14ac:dyDescent="0.2">
      <c r="B12" s="296"/>
      <c r="C12" s="290"/>
      <c r="D12" s="290"/>
      <c r="E12" s="290"/>
      <c r="F12" s="290"/>
      <c r="G12" s="290"/>
      <c r="H12" s="158"/>
    </row>
    <row r="13" spans="1:8" ht="15" customHeight="1" x14ac:dyDescent="0.2">
      <c r="B13" s="296" t="s">
        <v>102</v>
      </c>
      <c r="C13" s="290"/>
      <c r="D13" s="290"/>
      <c r="E13" s="290"/>
      <c r="F13" s="296" t="s">
        <v>103</v>
      </c>
      <c r="G13" s="290"/>
      <c r="H13" s="158"/>
    </row>
    <row r="14" spans="1:8" ht="15" customHeight="1" x14ac:dyDescent="0.2">
      <c r="B14" s="299" t="s">
        <v>131</v>
      </c>
      <c r="C14" s="300">
        <f>Ballast!C32</f>
        <v>0</v>
      </c>
      <c r="D14" s="290"/>
      <c r="E14" s="290"/>
      <c r="F14" s="299" t="s">
        <v>131</v>
      </c>
      <c r="G14" s="300">
        <f>Ballast!E32</f>
        <v>0</v>
      </c>
      <c r="H14" s="158"/>
    </row>
    <row r="15" spans="1:8" ht="15" customHeight="1" x14ac:dyDescent="0.2">
      <c r="B15" s="299" t="s">
        <v>132</v>
      </c>
      <c r="C15" s="300">
        <f>Ballast!C34</f>
        <v>0</v>
      </c>
      <c r="D15" s="290"/>
      <c r="E15" s="290"/>
      <c r="F15" s="299" t="s">
        <v>132</v>
      </c>
      <c r="G15" s="300">
        <f>Ballast!E34</f>
        <v>0</v>
      </c>
      <c r="H15" s="158"/>
    </row>
    <row r="16" spans="1:8" ht="15" customHeight="1" x14ac:dyDescent="0.2">
      <c r="B16" s="299" t="s">
        <v>133</v>
      </c>
      <c r="C16" s="300">
        <f>Ballast!C37</f>
        <v>0</v>
      </c>
      <c r="D16" s="290"/>
      <c r="E16" s="290"/>
      <c r="F16" s="299" t="s">
        <v>133</v>
      </c>
      <c r="G16" s="300">
        <f>Ballast!E37</f>
        <v>0</v>
      </c>
      <c r="H16" s="158"/>
    </row>
    <row r="17" spans="2:9" ht="15" customHeight="1" x14ac:dyDescent="0.2">
      <c r="B17" s="299" t="s">
        <v>134</v>
      </c>
      <c r="C17" s="301">
        <f>Ballast!C38</f>
        <v>999.84259399999996</v>
      </c>
      <c r="D17" s="290"/>
      <c r="E17" s="290"/>
      <c r="F17" s="299" t="s">
        <v>134</v>
      </c>
      <c r="G17" s="301">
        <f>Ballast!E38</f>
        <v>999.84259399999996</v>
      </c>
      <c r="H17" s="158"/>
    </row>
    <row r="18" spans="2:9" ht="9.75" customHeight="1" thickBot="1" x14ac:dyDescent="0.25">
      <c r="B18" s="310"/>
      <c r="C18" s="311"/>
      <c r="D18" s="290"/>
      <c r="E18" s="290"/>
      <c r="F18" s="310"/>
      <c r="G18" s="311"/>
      <c r="H18" s="272"/>
    </row>
    <row r="19" spans="2:9" ht="7.5" customHeight="1" thickTop="1" x14ac:dyDescent="0.2">
      <c r="B19" s="312"/>
      <c r="C19" s="313"/>
      <c r="D19" s="313"/>
      <c r="E19" s="313"/>
      <c r="F19" s="313"/>
      <c r="G19" s="313"/>
      <c r="H19" s="112"/>
    </row>
    <row r="20" spans="2:9" s="176" customFormat="1" ht="30" customHeight="1" x14ac:dyDescent="0.2">
      <c r="B20" s="284" t="s">
        <v>135</v>
      </c>
      <c r="C20" s="387" t="s">
        <v>215</v>
      </c>
      <c r="D20" s="387"/>
      <c r="E20" s="387"/>
      <c r="F20" s="387"/>
      <c r="G20" s="387"/>
      <c r="H20" s="303"/>
      <c r="I20" s="304"/>
    </row>
    <row r="21" spans="2:9" s="176" customFormat="1" ht="18" customHeight="1" x14ac:dyDescent="0.2">
      <c r="B21" s="389" t="s">
        <v>228</v>
      </c>
      <c r="C21" s="389"/>
      <c r="D21" s="389" t="s">
        <v>208</v>
      </c>
      <c r="E21" s="389"/>
      <c r="F21" s="389" t="s">
        <v>209</v>
      </c>
      <c r="G21" s="389"/>
    </row>
    <row r="22" spans="2:9" s="176" customFormat="1" ht="6" customHeight="1" x14ac:dyDescent="0.2">
      <c r="C22" s="223"/>
    </row>
    <row r="23" spans="2:9" s="176" customFormat="1" ht="18" customHeight="1" x14ac:dyDescent="0.2">
      <c r="B23" s="224"/>
      <c r="C23" s="224"/>
    </row>
    <row r="24" spans="2:9" s="176" customFormat="1" ht="18" customHeight="1" x14ac:dyDescent="0.2">
      <c r="B24" s="224"/>
      <c r="C24" s="224"/>
    </row>
    <row r="25" spans="2:9" s="176" customFormat="1" ht="18" customHeight="1" x14ac:dyDescent="0.2"/>
    <row r="26" spans="2:9" s="176" customFormat="1" ht="18" customHeight="1" x14ac:dyDescent="0.2"/>
    <row r="27" spans="2:9" s="176" customFormat="1" ht="18" customHeight="1" x14ac:dyDescent="0.2"/>
    <row r="28" spans="2:9" s="176" customFormat="1" ht="18" customHeight="1" x14ac:dyDescent="0.2"/>
    <row r="29" spans="2:9" s="176" customFormat="1" ht="18" customHeight="1" x14ac:dyDescent="0.2"/>
    <row r="30" spans="2:9" s="176" customFormat="1" ht="18" customHeight="1" x14ac:dyDescent="0.2"/>
    <row r="31" spans="2:9" s="176" customFormat="1" ht="18" customHeight="1" x14ac:dyDescent="0.2"/>
    <row r="32" spans="2:9" s="176" customFormat="1" ht="18" customHeight="1" thickBot="1" x14ac:dyDescent="0.25">
      <c r="C32" s="223"/>
    </row>
    <row r="33" spans="2:13" s="176" customFormat="1" ht="9.75" customHeight="1" thickTop="1" x14ac:dyDescent="0.2">
      <c r="B33" s="314"/>
      <c r="C33" s="314"/>
      <c r="D33" s="314"/>
      <c r="E33" s="314"/>
      <c r="F33" s="314"/>
      <c r="G33" s="314"/>
    </row>
    <row r="34" spans="2:13" s="176" customFormat="1" ht="18" customHeight="1" x14ac:dyDescent="0.2">
      <c r="B34" s="388" t="s">
        <v>216</v>
      </c>
      <c r="C34" s="388"/>
      <c r="D34" s="317" t="s">
        <v>217</v>
      </c>
      <c r="E34" s="271"/>
      <c r="F34" s="271"/>
      <c r="G34" s="271"/>
      <c r="H34" s="271"/>
    </row>
    <row r="35" spans="2:13" s="176" customFormat="1" ht="18" customHeight="1" x14ac:dyDescent="0.2">
      <c r="B35" s="270"/>
      <c r="C35" s="271"/>
      <c r="D35" s="271"/>
      <c r="E35" s="271"/>
      <c r="F35" s="271"/>
      <c r="G35" s="271"/>
      <c r="H35" s="271"/>
    </row>
    <row r="36" spans="2:13" s="176" customFormat="1" ht="18" customHeight="1" x14ac:dyDescent="0.2">
      <c r="B36" s="306"/>
      <c r="C36" s="271"/>
      <c r="D36" s="271"/>
      <c r="E36" s="271"/>
      <c r="F36" s="271"/>
      <c r="G36" s="307"/>
      <c r="H36" s="271"/>
    </row>
    <row r="37" spans="2:13" s="176" customFormat="1" ht="18" customHeight="1" x14ac:dyDescent="0.2">
      <c r="B37" s="306"/>
      <c r="C37" s="271"/>
      <c r="D37" s="271"/>
      <c r="E37" s="271"/>
      <c r="F37" s="271"/>
      <c r="G37" s="305"/>
      <c r="H37" s="271"/>
    </row>
    <row r="38" spans="2:13" s="176" customFormat="1" ht="18" customHeight="1" x14ac:dyDescent="0.2">
      <c r="B38" s="309"/>
      <c r="C38" s="271"/>
      <c r="D38" s="271"/>
      <c r="E38" s="271"/>
      <c r="F38" s="271"/>
      <c r="G38" s="308"/>
      <c r="H38" s="271"/>
    </row>
    <row r="39" spans="2:13" s="176" customFormat="1" ht="18" customHeight="1" x14ac:dyDescent="0.2">
      <c r="B39" s="306"/>
      <c r="C39" s="271"/>
      <c r="D39" s="271"/>
      <c r="E39" s="271"/>
      <c r="F39" s="271"/>
      <c r="G39" s="305"/>
      <c r="H39" s="271"/>
    </row>
    <row r="40" spans="2:13" s="176" customFormat="1" ht="18" customHeight="1" x14ac:dyDescent="0.2">
      <c r="B40" s="306"/>
      <c r="C40" s="271"/>
      <c r="D40" s="271"/>
      <c r="E40" s="271"/>
      <c r="F40" s="271"/>
      <c r="G40" s="307"/>
      <c r="H40" s="271"/>
    </row>
    <row r="41" spans="2:13" s="176" customFormat="1" ht="18" customHeight="1" x14ac:dyDescent="0.2">
      <c r="B41" s="270"/>
      <c r="C41" s="271"/>
      <c r="D41" s="271"/>
      <c r="E41" s="271"/>
      <c r="F41" s="271"/>
      <c r="G41" s="271"/>
      <c r="H41" s="271"/>
    </row>
    <row r="42" spans="2:13" s="176" customFormat="1" ht="21.75" customHeight="1" thickBot="1" x14ac:dyDescent="0.25">
      <c r="B42" s="270"/>
      <c r="C42" s="271"/>
      <c r="D42" s="271"/>
      <c r="E42" s="271"/>
      <c r="F42" s="271"/>
      <c r="G42" s="271"/>
      <c r="H42" s="271"/>
    </row>
    <row r="43" spans="2:13" s="176" customFormat="1" ht="9.75" customHeight="1" thickTop="1" x14ac:dyDescent="0.2">
      <c r="B43" s="315"/>
      <c r="C43" s="316"/>
      <c r="D43" s="316"/>
      <c r="E43" s="316"/>
      <c r="F43" s="316"/>
      <c r="G43" s="316"/>
      <c r="H43" s="271"/>
    </row>
    <row r="44" spans="2:13" ht="18" customHeight="1" x14ac:dyDescent="0.2">
      <c r="B44" s="109" t="s">
        <v>105</v>
      </c>
      <c r="C44" s="105"/>
      <c r="D44" s="105"/>
    </row>
    <row r="45" spans="2:13" ht="8.25" customHeight="1" x14ac:dyDescent="0.2">
      <c r="B45" s="108"/>
    </row>
    <row r="46" spans="2:13" ht="12" customHeight="1" thickBot="1" x14ac:dyDescent="0.25">
      <c r="B46" s="273" t="s">
        <v>87</v>
      </c>
      <c r="C46" s="273" t="s">
        <v>137</v>
      </c>
      <c r="D46" s="273" t="s">
        <v>104</v>
      </c>
      <c r="E46" s="273" t="s">
        <v>137</v>
      </c>
      <c r="F46" s="273" t="s">
        <v>40</v>
      </c>
      <c r="G46" s="273" t="s">
        <v>137</v>
      </c>
      <c r="H46" s="390"/>
      <c r="I46" s="391"/>
      <c r="L46" s="392"/>
      <c r="M46" s="392"/>
    </row>
    <row r="47" spans="2:13" ht="12" customHeight="1" thickTop="1" x14ac:dyDescent="0.2">
      <c r="B47" s="274" t="s">
        <v>106</v>
      </c>
      <c r="C47" s="275"/>
      <c r="D47" s="274" t="s">
        <v>107</v>
      </c>
      <c r="E47" s="275"/>
      <c r="F47" s="274" t="s">
        <v>108</v>
      </c>
      <c r="G47" s="275"/>
      <c r="H47" s="106"/>
      <c r="I47" s="386"/>
      <c r="J47" s="386"/>
      <c r="K47" s="386"/>
      <c r="L47" s="386"/>
      <c r="M47" s="110"/>
    </row>
    <row r="48" spans="2:13" ht="12" customHeight="1" x14ac:dyDescent="0.2">
      <c r="B48" s="276" t="s">
        <v>109</v>
      </c>
      <c r="C48" s="277" t="s">
        <v>173</v>
      </c>
      <c r="D48" s="276" t="s">
        <v>110</v>
      </c>
      <c r="E48" s="277"/>
      <c r="F48" s="276"/>
      <c r="G48" s="276"/>
      <c r="H48" s="107"/>
      <c r="I48" s="386"/>
      <c r="J48" s="386"/>
      <c r="K48" s="386"/>
      <c r="L48" s="386"/>
      <c r="M48" s="110"/>
    </row>
    <row r="49" spans="2:13" ht="12" customHeight="1" x14ac:dyDescent="0.2">
      <c r="B49" s="276" t="s">
        <v>111</v>
      </c>
      <c r="C49" s="277"/>
      <c r="D49" s="276" t="s">
        <v>112</v>
      </c>
      <c r="E49" s="277"/>
      <c r="F49" s="276"/>
      <c r="G49" s="276"/>
      <c r="H49" s="106"/>
      <c r="I49" s="106"/>
      <c r="K49" s="386"/>
      <c r="L49" s="386"/>
      <c r="M49" s="110"/>
    </row>
    <row r="50" spans="2:13" ht="12" customHeight="1" x14ac:dyDescent="0.2">
      <c r="B50" s="278"/>
      <c r="C50" s="276"/>
      <c r="D50" s="276" t="s">
        <v>113</v>
      </c>
      <c r="E50" s="277"/>
      <c r="F50" s="276"/>
      <c r="G50" s="276"/>
      <c r="H50" s="107"/>
      <c r="I50" s="386"/>
      <c r="J50" s="386"/>
      <c r="K50" s="386"/>
      <c r="L50" s="386"/>
      <c r="M50" s="110"/>
    </row>
    <row r="51" spans="2:13" ht="12" customHeight="1" x14ac:dyDescent="0.2">
      <c r="B51" s="279"/>
      <c r="C51" s="279"/>
      <c r="D51" s="276" t="s">
        <v>139</v>
      </c>
      <c r="E51" s="280"/>
      <c r="F51" s="279"/>
      <c r="G51" s="279"/>
      <c r="H51" s="111"/>
      <c r="I51" s="111"/>
      <c r="J51" s="111"/>
      <c r="K51" s="111"/>
      <c r="L51" s="111"/>
      <c r="M51" s="111"/>
    </row>
    <row r="52" spans="2:13" ht="12" customHeight="1" x14ac:dyDescent="0.2">
      <c r="B52" s="281"/>
      <c r="C52" s="281"/>
      <c r="D52" s="282"/>
      <c r="E52" s="281"/>
      <c r="F52" s="281"/>
      <c r="G52" s="281"/>
      <c r="H52" s="111"/>
      <c r="I52" s="111"/>
      <c r="J52" s="111"/>
      <c r="K52" s="111"/>
      <c r="L52" s="111"/>
      <c r="M52" s="111"/>
    </row>
    <row r="53" spans="2:13" ht="12" customHeight="1" x14ac:dyDescent="0.2">
      <c r="B53" s="276" t="s">
        <v>191</v>
      </c>
      <c r="C53" s="356" t="str">
        <f>IF(ISBLANK(Ballast!C25),"",Ballast!C25)</f>
        <v/>
      </c>
      <c r="D53" s="282"/>
      <c r="E53" s="281"/>
      <c r="F53" s="281"/>
      <c r="G53" s="281"/>
      <c r="H53" s="111"/>
      <c r="I53" s="111"/>
      <c r="J53" s="111"/>
      <c r="K53" s="111"/>
      <c r="L53" s="111"/>
      <c r="M53" s="111"/>
    </row>
    <row r="54" spans="2:13" ht="12" customHeight="1" x14ac:dyDescent="0.2">
      <c r="B54" s="318" t="s">
        <v>190</v>
      </c>
      <c r="C54" s="356" t="str">
        <f>IF(ISBLANK(Ballast!C26),"",Ballast!C26)</f>
        <v/>
      </c>
      <c r="D54" s="283"/>
      <c r="E54" s="283"/>
      <c r="F54" s="283"/>
      <c r="G54" s="283"/>
    </row>
    <row r="55" spans="2:13" ht="12" customHeight="1" x14ac:dyDescent="0.2">
      <c r="B55" s="327"/>
      <c r="C55" s="331"/>
      <c r="D55" s="283"/>
      <c r="E55" s="283"/>
      <c r="F55" s="283"/>
      <c r="G55" s="283"/>
    </row>
  </sheetData>
  <sheetProtection password="DA1B" sheet="1" objects="1" scenarios="1"/>
  <mergeCells count="14">
    <mergeCell ref="I50:J50"/>
    <mergeCell ref="K50:L50"/>
    <mergeCell ref="C20:G20"/>
    <mergeCell ref="B34:C34"/>
    <mergeCell ref="I48:J48"/>
    <mergeCell ref="K48:L48"/>
    <mergeCell ref="K49:L49"/>
    <mergeCell ref="D21:E21"/>
    <mergeCell ref="F21:G21"/>
    <mergeCell ref="B21:C21"/>
    <mergeCell ref="I47:J47"/>
    <mergeCell ref="K47:L47"/>
    <mergeCell ref="H46:I46"/>
    <mergeCell ref="L46:M46"/>
  </mergeCells>
  <phoneticPr fontId="0" type="noConversion"/>
  <pageMargins left="0.7" right="0.7" top="0.75" bottom="0.75" header="0.3" footer="0.3"/>
  <pageSetup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97"/>
  <sheetViews>
    <sheetView zoomScaleNormal="100" zoomScaleSheetLayoutView="115" workbookViewId="0"/>
  </sheetViews>
  <sheetFormatPr defaultColWidth="9.140625" defaultRowHeight="12.75" x14ac:dyDescent="0.2"/>
  <cols>
    <col min="1" max="1" width="27.7109375" style="25" customWidth="1"/>
    <col min="2" max="2" width="20.140625" style="25" customWidth="1"/>
    <col min="3" max="3" width="21.140625" style="25" customWidth="1"/>
    <col min="4" max="5" width="16.28515625" style="25" customWidth="1"/>
    <col min="6" max="6" width="81.85546875" style="33" customWidth="1"/>
    <col min="7" max="7" width="22.42578125" style="25" customWidth="1"/>
    <col min="8" max="8" width="19.42578125" style="25" customWidth="1"/>
    <col min="9" max="9" width="23.140625" style="25" customWidth="1"/>
    <col min="10" max="10" width="20.5703125" style="25" customWidth="1"/>
    <col min="11" max="11" width="14.42578125" style="25" customWidth="1"/>
    <col min="12" max="12" width="11.5703125" style="25" customWidth="1"/>
    <col min="13" max="16384" width="9.140625" style="25"/>
  </cols>
  <sheetData>
    <row r="1" spans="1:5" customFormat="1" ht="20.25" customHeight="1" x14ac:dyDescent="0.2">
      <c r="A1" s="25"/>
      <c r="B1" s="25"/>
      <c r="C1" s="219"/>
      <c r="D1" s="177" t="s">
        <v>167</v>
      </c>
      <c r="E1" s="178" t="str">
        <f>Ballast!$H$1</f>
        <v>4095-GBPSH</v>
      </c>
    </row>
    <row r="2" spans="1:5" customFormat="1" ht="20.25" customHeight="1" x14ac:dyDescent="0.2">
      <c r="A2" s="25"/>
      <c r="B2" s="25"/>
      <c r="C2" s="219"/>
      <c r="D2" s="179" t="s">
        <v>168</v>
      </c>
      <c r="E2" s="180" t="str">
        <f>Ballast!$H$2</f>
        <v>F</v>
      </c>
    </row>
    <row r="3" spans="1:5" customFormat="1" ht="20.25" customHeight="1" x14ac:dyDescent="0.2">
      <c r="A3" s="25"/>
      <c r="B3" s="25"/>
      <c r="C3" s="219"/>
      <c r="D3" s="179" t="s">
        <v>1</v>
      </c>
      <c r="E3" s="181">
        <f>Ballast!$H$3</f>
        <v>41813</v>
      </c>
    </row>
    <row r="4" spans="1:5" customFormat="1" ht="20.25" customHeight="1" thickBot="1" x14ac:dyDescent="0.25">
      <c r="A4" s="25"/>
      <c r="B4" s="25"/>
      <c r="C4" s="219"/>
      <c r="D4" s="182" t="s">
        <v>169</v>
      </c>
      <c r="E4" s="183">
        <f>Ballast!$H$4</f>
        <v>12698</v>
      </c>
    </row>
    <row r="5" spans="1:5" customFormat="1" ht="15.75" customHeight="1" thickBot="1" x14ac:dyDescent="0.25">
      <c r="A5" s="25"/>
      <c r="B5" s="25"/>
      <c r="C5" s="220"/>
      <c r="D5" s="221"/>
      <c r="E5" s="221"/>
    </row>
    <row r="6" spans="1:5" customFormat="1" ht="15.75" customHeight="1" thickTop="1" thickBot="1" x14ac:dyDescent="0.25">
      <c r="A6" s="217"/>
      <c r="B6" s="217"/>
      <c r="C6" s="217"/>
      <c r="D6" s="217"/>
      <c r="E6" s="217"/>
    </row>
    <row r="7" spans="1:5" x14ac:dyDescent="0.2">
      <c r="A7" s="174" t="s">
        <v>38</v>
      </c>
      <c r="B7" s="247" t="str">
        <f>IF(ISBLANK(Ballast!C13),"",Ballast!C13)</f>
        <v/>
      </c>
      <c r="C7" s="246"/>
    </row>
    <row r="8" spans="1:5" ht="13.5" thickBot="1" x14ac:dyDescent="0.25">
      <c r="A8" s="175" t="s">
        <v>1</v>
      </c>
      <c r="B8" s="248" t="str">
        <f>IF(ISBLANK(Ballast!C15),"",Ballast!C15)</f>
        <v/>
      </c>
    </row>
    <row r="9" spans="1:5" x14ac:dyDescent="0.2">
      <c r="A9" s="34"/>
      <c r="C9" s="90"/>
      <c r="D9" s="90"/>
      <c r="E9" s="90"/>
    </row>
    <row r="10" spans="1:5" x14ac:dyDescent="0.2">
      <c r="A10" s="34"/>
      <c r="C10" s="90"/>
      <c r="D10" s="90"/>
      <c r="E10" s="90"/>
    </row>
    <row r="11" spans="1:5" x14ac:dyDescent="0.2">
      <c r="A11" s="34"/>
      <c r="C11" s="90"/>
      <c r="D11" s="90"/>
      <c r="E11" s="90"/>
    </row>
    <row r="12" spans="1:5" x14ac:dyDescent="0.2">
      <c r="A12" s="34"/>
      <c r="C12" s="90"/>
      <c r="D12" s="90"/>
      <c r="E12" s="90"/>
    </row>
    <row r="13" spans="1:5" x14ac:dyDescent="0.2">
      <c r="A13" s="34"/>
      <c r="C13" s="90"/>
      <c r="D13" s="90"/>
      <c r="E13" s="90"/>
    </row>
    <row r="14" spans="1:5" x14ac:dyDescent="0.2">
      <c r="A14" s="34"/>
      <c r="C14" s="90"/>
      <c r="D14" s="90"/>
      <c r="E14" s="90"/>
    </row>
    <row r="15" spans="1:5" x14ac:dyDescent="0.2">
      <c r="A15" s="393" t="s">
        <v>186</v>
      </c>
      <c r="B15" s="393"/>
      <c r="C15" s="393"/>
      <c r="D15" s="393"/>
      <c r="E15" s="90"/>
    </row>
    <row r="16" spans="1:5" ht="13.5" thickBot="1" x14ac:dyDescent="0.25">
      <c r="A16" s="34"/>
    </row>
    <row r="17" spans="1:12" x14ac:dyDescent="0.2">
      <c r="A17" s="35" t="s">
        <v>69</v>
      </c>
      <c r="B17" s="36"/>
      <c r="C17" s="36"/>
      <c r="D17" s="37"/>
    </row>
    <row r="18" spans="1:12" x14ac:dyDescent="0.2">
      <c r="A18" s="190"/>
      <c r="B18" s="39" t="s">
        <v>48</v>
      </c>
      <c r="C18" s="77">
        <v>0</v>
      </c>
      <c r="D18" s="40" t="s">
        <v>10</v>
      </c>
      <c r="E18" s="192" t="str">
        <f>IF(C18&gt;5000,"Error: scale reading too high",IF(C18&lt;0,"Error: scale reading should be positive",""))</f>
        <v/>
      </c>
    </row>
    <row r="19" spans="1:12" x14ac:dyDescent="0.2">
      <c r="A19" s="193"/>
      <c r="B19" s="42" t="s">
        <v>49</v>
      </c>
      <c r="C19" s="77">
        <v>0</v>
      </c>
      <c r="D19" s="40" t="s">
        <v>10</v>
      </c>
      <c r="E19" s="192" t="str">
        <f>IF(C19&gt;5000,"Error: scale reading too high",IF(C19&lt;0,"Error: scale reading should be positive",""))</f>
        <v/>
      </c>
    </row>
    <row r="20" spans="1:12" x14ac:dyDescent="0.2">
      <c r="A20" s="193"/>
      <c r="B20" s="42" t="s">
        <v>50</v>
      </c>
      <c r="C20" s="194">
        <f>Ballast!G39</f>
        <v>0</v>
      </c>
      <c r="D20" s="40" t="s">
        <v>10</v>
      </c>
      <c r="E20" s="90"/>
    </row>
    <row r="21" spans="1:12" x14ac:dyDescent="0.2">
      <c r="A21" s="195"/>
      <c r="B21" s="44" t="str">
        <f>IF((C18+C19-C20)&gt;0,"Total weight to remove:","Total weight to add:")</f>
        <v>Total weight to add:</v>
      </c>
      <c r="C21" s="196">
        <f>ABS(C18+C19-C20)</f>
        <v>0</v>
      </c>
      <c r="D21" s="45" t="s">
        <v>10</v>
      </c>
      <c r="E21" s="90"/>
    </row>
    <row r="22" spans="1:12" x14ac:dyDescent="0.2">
      <c r="A22" s="193"/>
      <c r="B22" s="197"/>
      <c r="C22" s="198"/>
      <c r="D22" s="191"/>
      <c r="E22" s="90"/>
      <c r="I22" s="29"/>
      <c r="J22" s="29"/>
      <c r="K22" s="29"/>
    </row>
    <row r="23" spans="1:12" x14ac:dyDescent="0.2">
      <c r="A23" s="41"/>
      <c r="B23" s="47" t="s">
        <v>47</v>
      </c>
      <c r="C23" s="48" t="s">
        <v>51</v>
      </c>
      <c r="D23" s="191"/>
      <c r="E23" s="90"/>
      <c r="I23" s="29"/>
      <c r="J23" s="29"/>
      <c r="K23" s="29"/>
    </row>
    <row r="24" spans="1:12" x14ac:dyDescent="0.2">
      <c r="A24" s="41"/>
      <c r="B24" s="49" t="s">
        <v>75</v>
      </c>
      <c r="C24" s="49" t="s">
        <v>75</v>
      </c>
      <c r="D24" s="191"/>
      <c r="E24" s="90"/>
      <c r="I24" s="29"/>
      <c r="J24" s="29"/>
      <c r="K24" s="29"/>
    </row>
    <row r="25" spans="1:12" x14ac:dyDescent="0.2">
      <c r="A25" s="50" t="s">
        <v>42</v>
      </c>
      <c r="B25" s="78">
        <v>1</v>
      </c>
      <c r="C25" s="199">
        <f>B25-$C$31</f>
        <v>-21.7</v>
      </c>
      <c r="D25" s="191"/>
      <c r="E25" s="90" t="str">
        <f>IF(B25&lt;-10,"Error: Check scale position",IF(B25&gt;30, "Error, check scale position",""))</f>
        <v/>
      </c>
      <c r="I25" s="29"/>
      <c r="J25" s="29"/>
      <c r="K25" s="29"/>
    </row>
    <row r="26" spans="1:12" x14ac:dyDescent="0.2">
      <c r="A26" s="50" t="s">
        <v>43</v>
      </c>
      <c r="B26" s="78">
        <v>47</v>
      </c>
      <c r="C26" s="199">
        <f>B26-$C$31</f>
        <v>24.3</v>
      </c>
      <c r="D26" s="191"/>
      <c r="E26" s="90" t="str">
        <f>IF(B26&lt;20,"Error: Check scale position",IF(B26&gt;70, "Error, check scale position",""))</f>
        <v/>
      </c>
      <c r="I26" s="29"/>
      <c r="J26" s="29"/>
      <c r="K26" s="29"/>
    </row>
    <row r="27" spans="1:12" x14ac:dyDescent="0.2">
      <c r="A27" s="41"/>
      <c r="B27" s="200"/>
      <c r="C27" s="197"/>
      <c r="D27" s="191"/>
      <c r="E27" s="90"/>
      <c r="L27" s="29"/>
    </row>
    <row r="28" spans="1:12" ht="13.5" thickBot="1" x14ac:dyDescent="0.25">
      <c r="A28" s="51"/>
      <c r="B28" s="52" t="s">
        <v>83</v>
      </c>
      <c r="C28" s="186">
        <f>(C18*C25)+(C19*C26)</f>
        <v>0</v>
      </c>
      <c r="D28" s="53" t="s">
        <v>39</v>
      </c>
      <c r="E28" s="90"/>
      <c r="J28" s="29"/>
      <c r="L28" s="29"/>
    </row>
    <row r="29" spans="1:12" ht="13.5" thickBot="1" x14ac:dyDescent="0.25">
      <c r="A29" s="197"/>
      <c r="B29" s="202"/>
      <c r="C29" s="197"/>
      <c r="D29" s="197"/>
      <c r="E29" s="197"/>
      <c r="F29" s="54" t="s">
        <v>90</v>
      </c>
      <c r="J29" s="29"/>
    </row>
    <row r="30" spans="1:12" x14ac:dyDescent="0.2">
      <c r="A30" s="55" t="s">
        <v>45</v>
      </c>
      <c r="B30" s="36"/>
      <c r="C30" s="188"/>
      <c r="D30" s="189"/>
      <c r="E30" s="197"/>
      <c r="F30" s="33" t="s">
        <v>70</v>
      </c>
      <c r="J30" s="29"/>
    </row>
    <row r="31" spans="1:12" x14ac:dyDescent="0.2">
      <c r="A31" s="41"/>
      <c r="B31" s="56" t="s">
        <v>44</v>
      </c>
      <c r="C31" s="79">
        <v>22.7</v>
      </c>
      <c r="D31" s="203"/>
      <c r="E31" s="197"/>
      <c r="F31" s="33" t="s">
        <v>46</v>
      </c>
      <c r="J31" s="29"/>
    </row>
    <row r="32" spans="1:12" ht="13.5" thickBot="1" x14ac:dyDescent="0.25">
      <c r="A32" s="41"/>
      <c r="B32" s="29"/>
      <c r="C32" s="197"/>
      <c r="D32" s="191"/>
      <c r="E32" s="197"/>
      <c r="F32" s="33" t="s">
        <v>77</v>
      </c>
      <c r="J32" s="29"/>
    </row>
    <row r="33" spans="1:10" x14ac:dyDescent="0.2">
      <c r="A33" s="57" t="s">
        <v>53</v>
      </c>
      <c r="B33" s="57" t="s">
        <v>74</v>
      </c>
      <c r="C33" s="57" t="s">
        <v>76</v>
      </c>
      <c r="D33" s="191"/>
      <c r="E33" s="197"/>
      <c r="F33" s="33" t="s">
        <v>96</v>
      </c>
      <c r="J33" s="29"/>
    </row>
    <row r="34" spans="1:10" ht="13.5" thickBot="1" x14ac:dyDescent="0.25">
      <c r="A34" s="58"/>
      <c r="B34" s="58" t="s">
        <v>75</v>
      </c>
      <c r="C34" s="58" t="s">
        <v>75</v>
      </c>
      <c r="D34" s="191"/>
      <c r="E34" s="197"/>
      <c r="F34" s="33" t="s">
        <v>97</v>
      </c>
      <c r="J34" s="29"/>
    </row>
    <row r="35" spans="1:10" x14ac:dyDescent="0.2">
      <c r="A35" s="214" t="s">
        <v>54</v>
      </c>
      <c r="B35" s="80">
        <v>2</v>
      </c>
      <c r="C35" s="204">
        <f t="shared" ref="C35:C42" si="0">B35-C$31</f>
        <v>-20.7</v>
      </c>
      <c r="D35" s="191"/>
      <c r="E35" s="197"/>
      <c r="J35" s="29"/>
    </row>
    <row r="36" spans="1:10" x14ac:dyDescent="0.2">
      <c r="A36" s="215" t="s">
        <v>55</v>
      </c>
      <c r="B36" s="81">
        <v>3.5</v>
      </c>
      <c r="C36" s="199">
        <f t="shared" si="0"/>
        <v>-19.2</v>
      </c>
      <c r="D36" s="191"/>
      <c r="E36" s="197"/>
      <c r="F36" s="25"/>
      <c r="J36" s="29"/>
    </row>
    <row r="37" spans="1:10" x14ac:dyDescent="0.2">
      <c r="A37" s="215" t="s">
        <v>56</v>
      </c>
      <c r="B37" s="81">
        <v>20.125</v>
      </c>
      <c r="C37" s="199">
        <f t="shared" si="0"/>
        <v>-2.5749999999999993</v>
      </c>
      <c r="D37" s="191"/>
      <c r="E37" s="197"/>
      <c r="J37" s="29"/>
    </row>
    <row r="38" spans="1:10" x14ac:dyDescent="0.2">
      <c r="A38" s="215" t="s">
        <v>57</v>
      </c>
      <c r="B38" s="228">
        <v>22</v>
      </c>
      <c r="C38" s="199">
        <f t="shared" si="0"/>
        <v>-0.69999999999999929</v>
      </c>
      <c r="D38" s="191"/>
      <c r="E38" s="197"/>
      <c r="J38" s="29"/>
    </row>
    <row r="39" spans="1:10" x14ac:dyDescent="0.2">
      <c r="A39" s="215" t="s">
        <v>52</v>
      </c>
      <c r="B39" s="228">
        <f>C31</f>
        <v>22.7</v>
      </c>
      <c r="C39" s="199">
        <f t="shared" si="0"/>
        <v>0</v>
      </c>
      <c r="D39" s="191"/>
      <c r="E39" s="197"/>
      <c r="J39" s="29"/>
    </row>
    <row r="40" spans="1:10" x14ac:dyDescent="0.2">
      <c r="A40" s="215" t="s">
        <v>58</v>
      </c>
      <c r="B40" s="228">
        <v>26</v>
      </c>
      <c r="C40" s="199">
        <f t="shared" si="0"/>
        <v>3.3000000000000007</v>
      </c>
      <c r="D40" s="191"/>
      <c r="E40" s="197"/>
      <c r="J40" s="29"/>
    </row>
    <row r="41" spans="1:10" x14ac:dyDescent="0.2">
      <c r="A41" s="215" t="s">
        <v>59</v>
      </c>
      <c r="B41" s="81">
        <f>27+15/16</f>
        <v>27.9375</v>
      </c>
      <c r="C41" s="199">
        <f t="shared" si="0"/>
        <v>5.2375000000000007</v>
      </c>
      <c r="D41" s="191"/>
      <c r="E41" s="197"/>
      <c r="J41" s="29"/>
    </row>
    <row r="42" spans="1:10" ht="13.5" thickBot="1" x14ac:dyDescent="0.25">
      <c r="A42" s="216" t="s">
        <v>40</v>
      </c>
      <c r="B42" s="83">
        <v>46.875</v>
      </c>
      <c r="C42" s="205">
        <f t="shared" si="0"/>
        <v>24.175000000000001</v>
      </c>
      <c r="D42" s="206"/>
      <c r="E42" s="197"/>
      <c r="J42" s="29"/>
    </row>
    <row r="43" spans="1:10" ht="13.5" thickBot="1" x14ac:dyDescent="0.25">
      <c r="A43" s="90"/>
      <c r="B43" s="90"/>
      <c r="C43" s="90"/>
      <c r="D43" s="90"/>
      <c r="E43" s="90"/>
      <c r="J43" s="29"/>
    </row>
    <row r="44" spans="1:10" x14ac:dyDescent="0.2">
      <c r="A44" s="55" t="s">
        <v>66</v>
      </c>
      <c r="B44" s="188"/>
      <c r="C44" s="188"/>
      <c r="D44" s="189"/>
      <c r="E44" s="90"/>
      <c r="J44" s="29"/>
    </row>
    <row r="45" spans="1:10" ht="13.5" thickBot="1" x14ac:dyDescent="0.25">
      <c r="A45" s="193"/>
      <c r="B45" s="197"/>
      <c r="C45" s="197"/>
      <c r="D45" s="191"/>
      <c r="E45" s="90"/>
      <c r="J45" s="29"/>
    </row>
    <row r="46" spans="1:10" ht="27.75" customHeight="1" x14ac:dyDescent="0.2">
      <c r="A46" s="57" t="s">
        <v>84</v>
      </c>
      <c r="B46" s="57" t="s">
        <v>67</v>
      </c>
      <c r="C46" s="36" t="s">
        <v>60</v>
      </c>
      <c r="D46" s="173" t="s">
        <v>61</v>
      </c>
      <c r="E46" s="57" t="s">
        <v>98</v>
      </c>
      <c r="J46" s="29"/>
    </row>
    <row r="47" spans="1:10" ht="13.5" thickBot="1" x14ac:dyDescent="0.25">
      <c r="A47" s="60" t="s">
        <v>85</v>
      </c>
      <c r="B47" s="58"/>
      <c r="C47" s="61" t="s">
        <v>72</v>
      </c>
      <c r="D47" s="60" t="s">
        <v>73</v>
      </c>
      <c r="E47" s="322" t="s">
        <v>99</v>
      </c>
      <c r="J47" s="29"/>
    </row>
    <row r="48" spans="1:10" x14ac:dyDescent="0.2">
      <c r="A48" s="84">
        <v>1</v>
      </c>
      <c r="B48" s="62" t="str">
        <f t="shared" ref="B48:B55" si="1">A35</f>
        <v>Forward top</v>
      </c>
      <c r="C48" s="85">
        <v>0</v>
      </c>
      <c r="D48" s="218">
        <f t="shared" ref="D48:D55" si="2">C35*C48</f>
        <v>0</v>
      </c>
      <c r="E48" s="323"/>
      <c r="F48" s="94" t="str">
        <f t="shared" ref="F48:F56" si="3">IF(ABS(C48)&gt;5000,"Error: Weight adjustment too high","")</f>
        <v/>
      </c>
      <c r="J48" s="29"/>
    </row>
    <row r="49" spans="1:10" x14ac:dyDescent="0.2">
      <c r="A49" s="85">
        <v>1</v>
      </c>
      <c r="B49" s="62" t="str">
        <f t="shared" si="1"/>
        <v>Forward bottom</v>
      </c>
      <c r="C49" s="85">
        <v>0</v>
      </c>
      <c r="D49" s="207">
        <f t="shared" si="2"/>
        <v>0</v>
      </c>
      <c r="E49" s="324"/>
      <c r="F49" s="94" t="str">
        <f t="shared" si="3"/>
        <v/>
      </c>
      <c r="J49" s="29"/>
    </row>
    <row r="50" spans="1:10" x14ac:dyDescent="0.2">
      <c r="A50" s="85">
        <v>1</v>
      </c>
      <c r="B50" s="62" t="str">
        <f t="shared" si="1"/>
        <v>Sci fwd bottles</v>
      </c>
      <c r="C50" s="85">
        <v>0</v>
      </c>
      <c r="D50" s="207">
        <f t="shared" si="2"/>
        <v>0</v>
      </c>
      <c r="E50" s="324"/>
      <c r="F50" s="94" t="str">
        <f t="shared" si="3"/>
        <v/>
      </c>
      <c r="J50" s="29"/>
    </row>
    <row r="51" spans="1:10" x14ac:dyDescent="0.2">
      <c r="A51" s="85">
        <v>1</v>
      </c>
      <c r="B51" s="62" t="str">
        <f t="shared" si="1"/>
        <v>Sci fwd disc</v>
      </c>
      <c r="C51" s="85">
        <v>0</v>
      </c>
      <c r="D51" s="207">
        <f t="shared" si="2"/>
        <v>0</v>
      </c>
      <c r="E51" s="324"/>
      <c r="F51" s="94" t="str">
        <f t="shared" si="3"/>
        <v/>
      </c>
      <c r="J51" s="29"/>
    </row>
    <row r="52" spans="1:10" x14ac:dyDescent="0.2">
      <c r="A52" s="85">
        <v>1</v>
      </c>
      <c r="B52" s="62" t="str">
        <f t="shared" si="1"/>
        <v>Center</v>
      </c>
      <c r="C52" s="85">
        <v>0</v>
      </c>
      <c r="D52" s="207">
        <f t="shared" si="2"/>
        <v>0</v>
      </c>
      <c r="E52" s="324"/>
      <c r="F52" s="94" t="str">
        <f t="shared" si="3"/>
        <v/>
      </c>
      <c r="J52" s="29"/>
    </row>
    <row r="53" spans="1:10" x14ac:dyDescent="0.2">
      <c r="A53" s="85">
        <v>1</v>
      </c>
      <c r="B53" s="62" t="str">
        <f t="shared" si="1"/>
        <v>Sci aft disc</v>
      </c>
      <c r="C53" s="85">
        <v>0</v>
      </c>
      <c r="D53" s="207">
        <f t="shared" si="2"/>
        <v>0</v>
      </c>
      <c r="E53" s="324"/>
      <c r="F53" s="94" t="str">
        <f t="shared" si="3"/>
        <v/>
      </c>
      <c r="J53" s="29"/>
    </row>
    <row r="54" spans="1:10" x14ac:dyDescent="0.2">
      <c r="A54" s="85">
        <v>1</v>
      </c>
      <c r="B54" s="62" t="str">
        <f t="shared" si="1"/>
        <v>Sci aft bottles</v>
      </c>
      <c r="C54" s="85">
        <v>0</v>
      </c>
      <c r="D54" s="207">
        <f t="shared" si="2"/>
        <v>0</v>
      </c>
      <c r="E54" s="324"/>
      <c r="F54" s="94" t="str">
        <f t="shared" si="3"/>
        <v/>
      </c>
      <c r="J54" s="29"/>
    </row>
    <row r="55" spans="1:10" ht="13.5" thickBot="1" x14ac:dyDescent="0.25">
      <c r="A55" s="86">
        <v>1</v>
      </c>
      <c r="B55" s="58" t="str">
        <f t="shared" si="1"/>
        <v>Aft</v>
      </c>
      <c r="C55" s="86">
        <v>0</v>
      </c>
      <c r="D55" s="208">
        <f t="shared" si="2"/>
        <v>0</v>
      </c>
      <c r="E55" s="325"/>
      <c r="F55" s="94" t="str">
        <f t="shared" si="3"/>
        <v/>
      </c>
      <c r="J55" s="29"/>
    </row>
    <row r="56" spans="1:10" ht="13.5" thickBot="1" x14ac:dyDescent="0.25">
      <c r="A56" s="201"/>
      <c r="B56" s="209"/>
      <c r="C56" s="186">
        <f>SUM(C48:C55)</f>
        <v>0</v>
      </c>
      <c r="D56" s="210">
        <f>SUM(D48:D55)</f>
        <v>0</v>
      </c>
      <c r="E56" s="90"/>
      <c r="F56" s="94" t="str">
        <f t="shared" si="3"/>
        <v/>
      </c>
      <c r="J56" s="29"/>
    </row>
    <row r="57" spans="1:10" ht="13.5" customHeight="1" thickBot="1" x14ac:dyDescent="0.25">
      <c r="A57" s="90"/>
      <c r="B57" s="90"/>
      <c r="C57" s="90"/>
      <c r="D57" s="90"/>
      <c r="E57" s="90"/>
    </row>
    <row r="58" spans="1:10" ht="13.5" customHeight="1" x14ac:dyDescent="0.2">
      <c r="A58" s="55" t="s">
        <v>68</v>
      </c>
      <c r="B58" s="36"/>
      <c r="C58" s="36"/>
      <c r="D58" s="37"/>
      <c r="E58" s="29"/>
      <c r="F58" s="63"/>
      <c r="G58" s="26"/>
    </row>
    <row r="59" spans="1:10" ht="13.5" customHeight="1" x14ac:dyDescent="0.2">
      <c r="A59" s="41"/>
      <c r="B59" s="64">
        <f>ABS((C18+C19-C20)+C56)</f>
        <v>0</v>
      </c>
      <c r="C59" s="31" t="str">
        <f>IF(((C18+C19-C20)+C56)&gt;=0,"additional grams need to be removed", "additional grams need to be added")</f>
        <v>additional grams need to be removed</v>
      </c>
      <c r="D59" s="40"/>
      <c r="E59" s="29"/>
      <c r="F59" s="54"/>
      <c r="G59" s="31"/>
      <c r="I59" s="65"/>
    </row>
    <row r="60" spans="1:10" ht="13.5" customHeight="1" x14ac:dyDescent="0.2">
      <c r="A60" s="41"/>
      <c r="B60" s="46">
        <f>ABS((C28+D56)/(B71-B70))</f>
        <v>0</v>
      </c>
      <c r="C60" s="46" t="str">
        <f>CONCATENATE("Grams need to move from ",IF((C28+D56)&lt;=0,INDEX(A35:A42,B67,1),INDEX(A35:A42,B68,1))," to ",IF((C28+D56)&lt;=0,INDEX(A35:A42,B68,1),INDEX(A35:A42,B67,1)))</f>
        <v>Grams need to move from Forward top to Aft</v>
      </c>
      <c r="D60" s="40"/>
      <c r="E60" s="29"/>
      <c r="F60" s="54"/>
      <c r="G60" s="29"/>
    </row>
    <row r="61" spans="1:10" ht="13.5" customHeight="1" x14ac:dyDescent="0.2">
      <c r="A61" s="41"/>
      <c r="B61" s="46">
        <f>INDEX(C48:C55,IF(A48,1,IF(A49,2,IF(A50,3,IF(A51,4,IF(A52,5,IF(A53,6,IF(A54,7,"Error"))))))))+(C28+D56)/(INDEX(C35:C42,IF(A55,8,IF(A54,7,IF(A53,6,IF(A52,5,IF(A51,4,IF(A50,3,IF(A49,2,"error"))))))))-INDEX(C35:C42,IF(A48,1,IF(A49,2,IF(A50,3,IF(A51,4,IF(A52,5,IF(A53,6,IF(A54,7,"Error")))))))))</f>
        <v>0</v>
      </c>
      <c r="C61" s="66" t="str">
        <f>CONCATENATE("Change ",INDEX(A35:A42,B67,1)," to this:")</f>
        <v>Change Forward top to this:</v>
      </c>
      <c r="D61" s="40"/>
      <c r="E61" s="29"/>
      <c r="F61" s="54" t="s">
        <v>93</v>
      </c>
      <c r="G61" s="29"/>
    </row>
    <row r="62" spans="1:10" ht="13.5" customHeight="1" thickBot="1" x14ac:dyDescent="0.25">
      <c r="A62" s="51"/>
      <c r="B62" s="67">
        <f>INDEX(C48:C55,IF(A55,8,IF(A54,7,IF(A53,6,IF(A52,5,IF(A51,4,IF(A50,3,IF(A49,2,"error"))))))))-((C28+D56)/(INDEX(C35:C42,IF(A55,8,IF(A54,7,IF(A53,6,IF(A52,5,IF(A51,4,IF(A50,3,IF(A49,2,"error"))))))))-INDEX(C35:C42,IF(A48,1,IF(A49,2,IF(A50,3,IF(A51,4,IF(A52,5,IF(A53,6,IF(A54,7,"Error"))))))))))</f>
        <v>0</v>
      </c>
      <c r="C62" s="68" t="str">
        <f>CONCATENATE("Change ",INDEX(A35:A42,B68,1)," to this:")</f>
        <v>Change Aft to this:</v>
      </c>
      <c r="D62" s="59"/>
      <c r="E62" s="29"/>
      <c r="F62" s="54" t="s">
        <v>94</v>
      </c>
      <c r="G62" s="29"/>
    </row>
    <row r="63" spans="1:10" ht="13.5" customHeight="1" x14ac:dyDescent="0.2">
      <c r="A63" s="29"/>
      <c r="B63" s="46"/>
      <c r="C63" s="66"/>
      <c r="D63" s="321"/>
      <c r="E63" s="29"/>
      <c r="F63" s="54"/>
      <c r="G63" s="29"/>
    </row>
    <row r="64" spans="1:10" ht="13.5" customHeight="1" x14ac:dyDescent="0.2">
      <c r="A64" s="29"/>
      <c r="B64" s="46"/>
      <c r="C64" s="66"/>
      <c r="D64" s="29"/>
      <c r="E64" s="29"/>
      <c r="F64" s="54"/>
      <c r="G64" s="29"/>
    </row>
    <row r="65" spans="1:15" s="4" customFormat="1" ht="13.5" customHeight="1" x14ac:dyDescent="0.2">
      <c r="A65" s="1"/>
      <c r="B65" s="1"/>
      <c r="C65" s="1"/>
      <c r="D65" s="1"/>
      <c r="E65" s="1"/>
      <c r="F65" s="2"/>
      <c r="G65" s="3"/>
    </row>
    <row r="66" spans="1:15" s="10" customFormat="1" ht="15" hidden="1" customHeight="1" x14ac:dyDescent="0.2">
      <c r="A66" s="5" t="s">
        <v>71</v>
      </c>
      <c r="B66" s="6"/>
      <c r="C66" s="6"/>
      <c r="D66" s="7"/>
      <c r="E66" s="4"/>
      <c r="F66" s="8"/>
      <c r="G66" s="9"/>
    </row>
    <row r="67" spans="1:15" s="10" customFormat="1" hidden="1" x14ac:dyDescent="0.2">
      <c r="A67" s="11"/>
      <c r="B67" s="12">
        <f>IF(A48,1,IF(A49,2,IF(A50,3,IF(A51,4,IF(A52,5,IF(A53,6,IF(A54,7,"Error")))))))</f>
        <v>1</v>
      </c>
      <c r="C67" s="12" t="s">
        <v>62</v>
      </c>
      <c r="D67" s="13"/>
      <c r="E67" s="4"/>
      <c r="F67" s="8"/>
      <c r="G67" s="9"/>
    </row>
    <row r="68" spans="1:15" s="10" customFormat="1" ht="13.5" hidden="1" customHeight="1" x14ac:dyDescent="0.2">
      <c r="A68" s="11"/>
      <c r="B68" s="12">
        <f>IF(A55,8,IF(A54,7,IF(A53,6,IF(A52,5,IF(A51,4,IF(A50,3,IF(A49,2,"error")))))))</f>
        <v>8</v>
      </c>
      <c r="C68" s="12" t="s">
        <v>63</v>
      </c>
      <c r="D68" s="13"/>
      <c r="E68" s="4"/>
      <c r="F68" s="8"/>
      <c r="G68" s="9"/>
    </row>
    <row r="69" spans="1:15" s="16" customFormat="1" ht="11.25" hidden="1" x14ac:dyDescent="0.2">
      <c r="A69" s="14"/>
      <c r="B69" s="12"/>
      <c r="C69" s="12"/>
      <c r="D69" s="15"/>
      <c r="F69" s="17"/>
    </row>
    <row r="70" spans="1:15" s="10" customFormat="1" hidden="1" x14ac:dyDescent="0.2">
      <c r="A70" s="11"/>
      <c r="B70" s="12">
        <f>INDEX(C35:C42,IF(A48,1,IF(A49,2,IF(A50,3,IF(A51,4,IF(A52,5,IF(A53,6,IF(A54,7,"Error"))))))))</f>
        <v>-20.7</v>
      </c>
      <c r="C70" s="12" t="s">
        <v>64</v>
      </c>
      <c r="D70" s="18"/>
      <c r="E70" s="19"/>
      <c r="F70" s="20"/>
      <c r="G70" s="19"/>
      <c r="H70" s="19"/>
      <c r="I70" s="19"/>
      <c r="J70" s="19"/>
      <c r="K70" s="19"/>
    </row>
    <row r="71" spans="1:15" s="10" customFormat="1" ht="16.5" hidden="1" thickBot="1" x14ac:dyDescent="0.3">
      <c r="A71" s="21"/>
      <c r="B71" s="22">
        <f>INDEX(C35:C42,IF(A55,8,IF(A54,7,IF(A53,6,IF(A52,5,IF(A51,4,IF(A50,3,IF(A49,2,"error"))))))))</f>
        <v>24.175000000000001</v>
      </c>
      <c r="C71" s="22" t="s">
        <v>65</v>
      </c>
      <c r="D71" s="23"/>
      <c r="E71" s="19"/>
      <c r="F71" s="20"/>
      <c r="G71" s="19"/>
      <c r="H71" s="19"/>
      <c r="I71" s="19"/>
      <c r="J71" s="19"/>
      <c r="K71" s="24"/>
    </row>
    <row r="72" spans="1:15" s="28" customFormat="1" x14ac:dyDescent="0.2">
      <c r="F72" s="69"/>
    </row>
    <row r="73" spans="1:15" s="28" customFormat="1" x14ac:dyDescent="0.2">
      <c r="A73" s="33" t="s">
        <v>91</v>
      </c>
      <c r="F73" s="69"/>
    </row>
    <row r="74" spans="1:15" s="74" customFormat="1" ht="30.75" customHeight="1" x14ac:dyDescent="0.2">
      <c r="A74" s="398" t="s">
        <v>92</v>
      </c>
      <c r="B74" s="395"/>
      <c r="C74" s="395"/>
      <c r="D74" s="395"/>
      <c r="E74" s="72"/>
      <c r="F74" s="73"/>
    </row>
    <row r="75" spans="1:15" s="71" customFormat="1" ht="73.5" customHeight="1" x14ac:dyDescent="0.2">
      <c r="A75" s="394" t="s">
        <v>192</v>
      </c>
      <c r="B75" s="395"/>
      <c r="C75" s="395"/>
      <c r="D75" s="395"/>
      <c r="F75" s="70"/>
    </row>
    <row r="76" spans="1:15" s="71" customFormat="1" ht="78" customHeight="1" x14ac:dyDescent="0.2">
      <c r="A76" s="394" t="s">
        <v>193</v>
      </c>
      <c r="B76" s="395"/>
      <c r="C76" s="395"/>
      <c r="D76" s="395"/>
      <c r="F76" s="70"/>
      <c r="H76" s="75"/>
      <c r="I76" s="75"/>
      <c r="J76" s="75"/>
      <c r="K76" s="75"/>
      <c r="L76" s="75"/>
      <c r="M76" s="75"/>
      <c r="N76" s="75"/>
      <c r="O76" s="75"/>
    </row>
    <row r="77" spans="1:15" s="71" customFormat="1" ht="78.75" customHeight="1" x14ac:dyDescent="0.2">
      <c r="A77" s="394" t="s">
        <v>194</v>
      </c>
      <c r="B77" s="395"/>
      <c r="C77" s="395"/>
      <c r="D77" s="395"/>
      <c r="F77" s="70"/>
      <c r="H77" s="75"/>
      <c r="I77" s="75"/>
      <c r="J77" s="75"/>
      <c r="K77" s="75"/>
      <c r="L77" s="75"/>
      <c r="M77" s="75"/>
      <c r="N77" s="75"/>
      <c r="O77" s="75"/>
    </row>
    <row r="78" spans="1:15" s="71" customFormat="1" ht="126" customHeight="1" x14ac:dyDescent="0.2">
      <c r="A78" s="394" t="s">
        <v>195</v>
      </c>
      <c r="B78" s="395"/>
      <c r="C78" s="395"/>
      <c r="D78" s="395"/>
      <c r="F78" s="70"/>
      <c r="H78" s="75"/>
      <c r="I78" s="75"/>
      <c r="J78" s="75"/>
      <c r="K78" s="75"/>
      <c r="L78" s="75"/>
      <c r="M78" s="75"/>
      <c r="N78" s="75"/>
      <c r="O78" s="75"/>
    </row>
    <row r="79" spans="1:15" s="71" customFormat="1" ht="60.75" customHeight="1" x14ac:dyDescent="0.2">
      <c r="A79" s="394" t="s">
        <v>196</v>
      </c>
      <c r="B79" s="395"/>
      <c r="C79" s="395"/>
      <c r="D79" s="395"/>
      <c r="E79" s="75"/>
      <c r="F79" s="70"/>
      <c r="H79" s="75"/>
      <c r="I79" s="75"/>
      <c r="J79" s="75"/>
      <c r="K79" s="75"/>
      <c r="L79" s="75"/>
      <c r="M79" s="75"/>
      <c r="N79" s="75"/>
      <c r="O79" s="75"/>
    </row>
    <row r="80" spans="1:15" ht="34.5" customHeight="1" x14ac:dyDescent="0.2">
      <c r="A80" s="396" t="s">
        <v>95</v>
      </c>
      <c r="B80" s="397"/>
      <c r="C80" s="397"/>
      <c r="D80" s="397"/>
      <c r="E80" s="29"/>
      <c r="F80" s="54"/>
      <c r="G80" s="29"/>
      <c r="H80" s="29"/>
      <c r="I80" s="29"/>
      <c r="J80" s="29"/>
      <c r="K80" s="29"/>
      <c r="L80" s="29"/>
      <c r="M80" s="29"/>
      <c r="N80" s="29"/>
      <c r="O80" s="29"/>
    </row>
    <row r="81" spans="1:15" x14ac:dyDescent="0.2">
      <c r="A81" s="29"/>
      <c r="B81" s="29"/>
      <c r="C81" s="76"/>
      <c r="D81" s="46"/>
      <c r="E81" s="29"/>
      <c r="F81" s="54"/>
      <c r="G81" s="29"/>
      <c r="H81" s="29"/>
      <c r="I81" s="29"/>
      <c r="J81" s="29"/>
      <c r="K81" s="29"/>
      <c r="L81" s="29"/>
      <c r="M81" s="29"/>
      <c r="N81" s="29"/>
      <c r="O81" s="29"/>
    </row>
    <row r="82" spans="1:15" x14ac:dyDescent="0.2">
      <c r="A82" s="29" t="s">
        <v>100</v>
      </c>
      <c r="B82" s="29"/>
      <c r="C82" s="76"/>
      <c r="D82" s="46"/>
      <c r="E82" s="29"/>
      <c r="F82" s="54"/>
      <c r="G82" s="29"/>
      <c r="H82" s="29"/>
      <c r="I82" s="29"/>
      <c r="J82" s="29"/>
      <c r="K82" s="29"/>
      <c r="L82" s="29"/>
      <c r="M82" s="29"/>
      <c r="N82" s="29"/>
      <c r="O82" s="29"/>
    </row>
    <row r="83" spans="1:15" x14ac:dyDescent="0.2">
      <c r="A83" s="29"/>
      <c r="B83" s="29"/>
      <c r="C83" s="76"/>
      <c r="D83" s="46"/>
      <c r="E83" s="29"/>
      <c r="F83" s="54"/>
      <c r="G83" s="29"/>
      <c r="H83" s="29"/>
      <c r="I83" s="29"/>
      <c r="J83" s="29"/>
      <c r="K83" s="29"/>
      <c r="L83" s="29"/>
      <c r="M83" s="29"/>
      <c r="N83" s="29"/>
      <c r="O83" s="29"/>
    </row>
    <row r="84" spans="1:15" x14ac:dyDescent="0.2">
      <c r="A84" s="29"/>
      <c r="B84" s="29"/>
      <c r="C84" s="76"/>
      <c r="D84" s="46"/>
      <c r="E84" s="29"/>
      <c r="F84" s="54"/>
      <c r="G84" s="29"/>
      <c r="H84" s="29"/>
      <c r="I84" s="29"/>
      <c r="J84" s="29"/>
      <c r="K84" s="29"/>
      <c r="L84" s="29"/>
      <c r="M84" s="29"/>
      <c r="N84" s="29"/>
      <c r="O84" s="29"/>
    </row>
    <row r="85" spans="1:15" x14ac:dyDescent="0.2">
      <c r="A85" s="29"/>
      <c r="B85" s="29"/>
      <c r="C85" s="76"/>
      <c r="D85" s="46"/>
      <c r="E85" s="29"/>
      <c r="F85" s="54"/>
      <c r="G85" s="29"/>
      <c r="H85" s="29"/>
      <c r="I85" s="29"/>
      <c r="J85" s="29"/>
      <c r="K85" s="29"/>
      <c r="L85" s="29"/>
      <c r="M85" s="29"/>
      <c r="N85" s="29"/>
      <c r="O85" s="29"/>
    </row>
    <row r="86" spans="1:15" x14ac:dyDescent="0.2">
      <c r="A86" s="29"/>
      <c r="B86" s="29"/>
      <c r="C86" s="76"/>
      <c r="D86" s="46"/>
      <c r="E86" s="29"/>
      <c r="F86" s="54"/>
      <c r="G86" s="29"/>
      <c r="H86" s="29"/>
      <c r="I86" s="29"/>
      <c r="J86" s="29"/>
      <c r="K86" s="29"/>
      <c r="L86" s="29"/>
      <c r="M86" s="29"/>
      <c r="N86" s="29"/>
      <c r="O86" s="29"/>
    </row>
    <row r="87" spans="1:15" x14ac:dyDescent="0.2">
      <c r="A87" s="29"/>
      <c r="B87" s="29"/>
      <c r="C87" s="29"/>
      <c r="D87" s="46"/>
      <c r="E87" s="31"/>
      <c r="F87" s="54"/>
      <c r="G87" s="29"/>
      <c r="H87" s="29"/>
      <c r="I87" s="29"/>
      <c r="J87" s="29"/>
      <c r="K87" s="29"/>
      <c r="L87" s="29"/>
      <c r="M87" s="29"/>
      <c r="N87" s="29"/>
      <c r="O87" s="29"/>
    </row>
    <row r="88" spans="1:15" x14ac:dyDescent="0.2">
      <c r="A88" s="29"/>
      <c r="B88" s="29"/>
      <c r="C88" s="29"/>
      <c r="D88" s="46"/>
      <c r="E88" s="46"/>
      <c r="F88" s="54"/>
      <c r="G88" s="29"/>
      <c r="H88" s="29"/>
      <c r="I88" s="29"/>
      <c r="J88" s="29"/>
      <c r="K88" s="29"/>
      <c r="L88" s="29"/>
      <c r="M88" s="29"/>
      <c r="N88" s="29"/>
      <c r="O88" s="29"/>
    </row>
    <row r="89" spans="1:15" x14ac:dyDescent="0.2">
      <c r="A89" s="29"/>
      <c r="B89" s="29"/>
      <c r="C89" s="76"/>
      <c r="D89" s="46"/>
      <c r="E89" s="29"/>
      <c r="F89" s="54"/>
      <c r="G89" s="29"/>
      <c r="H89" s="29"/>
      <c r="I89" s="29"/>
      <c r="J89" s="29"/>
      <c r="K89" s="29"/>
      <c r="L89" s="29"/>
      <c r="M89" s="29"/>
      <c r="N89" s="29"/>
      <c r="O89" s="29"/>
    </row>
    <row r="90" spans="1:15" x14ac:dyDescent="0.2">
      <c r="A90" s="29"/>
      <c r="B90" s="29"/>
      <c r="C90" s="76"/>
      <c r="D90" s="46"/>
      <c r="E90" s="29"/>
      <c r="F90" s="54"/>
      <c r="G90" s="29"/>
      <c r="H90" s="29"/>
      <c r="I90" s="29"/>
      <c r="J90" s="29"/>
      <c r="K90" s="29"/>
      <c r="L90" s="29"/>
      <c r="M90" s="29"/>
      <c r="N90" s="29"/>
      <c r="O90" s="29"/>
    </row>
    <row r="91" spans="1:15" x14ac:dyDescent="0.2">
      <c r="A91" s="29"/>
      <c r="B91" s="29"/>
      <c r="C91" s="29"/>
      <c r="D91" s="46"/>
      <c r="E91" s="31"/>
      <c r="F91" s="54"/>
      <c r="G91" s="29"/>
      <c r="H91" s="29"/>
      <c r="I91" s="29"/>
      <c r="J91" s="29"/>
      <c r="K91" s="29"/>
      <c r="L91" s="29"/>
      <c r="M91" s="29"/>
      <c r="N91" s="29"/>
      <c r="O91" s="29"/>
    </row>
    <row r="92" spans="1:15" x14ac:dyDescent="0.2">
      <c r="A92" s="29"/>
      <c r="B92" s="29"/>
      <c r="C92" s="29"/>
      <c r="D92" s="46"/>
      <c r="E92" s="29"/>
      <c r="F92" s="54"/>
      <c r="G92" s="29"/>
      <c r="H92" s="29"/>
      <c r="I92" s="29"/>
      <c r="J92" s="29"/>
      <c r="K92" s="29"/>
      <c r="L92" s="29"/>
      <c r="M92" s="29"/>
      <c r="N92" s="29"/>
      <c r="O92" s="29"/>
    </row>
    <row r="93" spans="1:15" x14ac:dyDescent="0.2">
      <c r="A93" s="29"/>
      <c r="B93" s="29"/>
      <c r="C93" s="29"/>
      <c r="D93" s="46"/>
      <c r="E93" s="46"/>
      <c r="F93" s="54"/>
      <c r="G93" s="29"/>
      <c r="H93" s="29"/>
      <c r="I93" s="29"/>
      <c r="J93" s="29"/>
      <c r="K93" s="29"/>
      <c r="L93" s="29"/>
      <c r="M93" s="29"/>
      <c r="N93" s="29"/>
      <c r="O93" s="29"/>
    </row>
    <row r="94" spans="1:15" x14ac:dyDescent="0.2">
      <c r="A94" s="29"/>
      <c r="B94" s="29"/>
      <c r="C94" s="76"/>
      <c r="D94" s="46"/>
      <c r="E94" s="29"/>
      <c r="F94" s="54"/>
      <c r="G94" s="29"/>
      <c r="H94" s="29"/>
      <c r="I94" s="29"/>
      <c r="J94" s="29"/>
      <c r="K94" s="29"/>
      <c r="L94" s="29"/>
      <c r="M94" s="29"/>
      <c r="N94" s="29"/>
      <c r="O94" s="29"/>
    </row>
    <row r="95" spans="1:15" x14ac:dyDescent="0.2">
      <c r="A95" s="29"/>
      <c r="B95" s="29"/>
      <c r="C95" s="76"/>
      <c r="D95" s="46"/>
      <c r="E95" s="29"/>
      <c r="F95" s="54"/>
      <c r="G95" s="29"/>
      <c r="H95" s="29"/>
      <c r="I95" s="29"/>
      <c r="J95" s="29"/>
      <c r="K95" s="29"/>
      <c r="L95" s="29"/>
      <c r="M95" s="29"/>
      <c r="N95" s="29"/>
      <c r="O95" s="29"/>
    </row>
    <row r="96" spans="1:15" x14ac:dyDescent="0.2">
      <c r="A96" s="29"/>
      <c r="B96" s="29"/>
      <c r="C96" s="29"/>
      <c r="D96" s="29"/>
      <c r="E96" s="29"/>
      <c r="F96" s="54"/>
      <c r="G96" s="29"/>
      <c r="H96" s="29"/>
      <c r="I96" s="29"/>
      <c r="J96" s="29"/>
      <c r="K96" s="29"/>
      <c r="L96" s="29"/>
      <c r="M96" s="29"/>
      <c r="N96" s="29"/>
      <c r="O96" s="29"/>
    </row>
    <row r="97" spans="1:13" x14ac:dyDescent="0.2">
      <c r="A97" s="29"/>
      <c r="B97" s="29"/>
      <c r="C97" s="29"/>
      <c r="D97" s="29"/>
      <c r="E97" s="29"/>
      <c r="F97" s="54"/>
      <c r="G97" s="29"/>
      <c r="H97" s="29"/>
      <c r="I97" s="29"/>
      <c r="J97" s="29"/>
      <c r="K97" s="29"/>
      <c r="L97" s="29"/>
      <c r="M97" s="29"/>
    </row>
  </sheetData>
  <sheetProtection password="DA1B" sheet="1" objects="1" scenarios="1"/>
  <mergeCells count="8">
    <mergeCell ref="A15:D15"/>
    <mergeCell ref="A79:D79"/>
    <mergeCell ref="A80:D80"/>
    <mergeCell ref="A74:D74"/>
    <mergeCell ref="A75:D75"/>
    <mergeCell ref="A76:D76"/>
    <mergeCell ref="A77:D77"/>
    <mergeCell ref="A78:D78"/>
  </mergeCells>
  <phoneticPr fontId="0" type="noConversion"/>
  <pageMargins left="0.75" right="0.75" top="1" bottom="1" header="0.5" footer="0.5"/>
  <pageSetup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82"/>
  <sheetViews>
    <sheetView zoomScaleNormal="100" zoomScaleSheetLayoutView="115" workbookViewId="0"/>
  </sheetViews>
  <sheetFormatPr defaultColWidth="9.140625" defaultRowHeight="12.75" x14ac:dyDescent="0.2"/>
  <cols>
    <col min="1" max="1" width="27.7109375" style="25" customWidth="1"/>
    <col min="2" max="2" width="17.85546875" style="25" customWidth="1"/>
    <col min="3" max="3" width="23.28515625" style="25" customWidth="1"/>
    <col min="4" max="4" width="15.5703125" style="25" customWidth="1"/>
    <col min="5" max="5" width="16.5703125" style="25" customWidth="1"/>
    <col min="6" max="6" width="86.7109375" style="25" bestFit="1" customWidth="1"/>
    <col min="7" max="16384" width="9.140625" style="25"/>
  </cols>
  <sheetData>
    <row r="1" spans="1:6" customFormat="1" ht="20.25" customHeight="1" x14ac:dyDescent="0.2">
      <c r="A1" s="25"/>
      <c r="B1" s="25"/>
      <c r="C1" s="25"/>
      <c r="D1" s="177" t="s">
        <v>167</v>
      </c>
      <c r="E1" s="178" t="str">
        <f>Ballast!$H$1</f>
        <v>4095-GBPSH</v>
      </c>
    </row>
    <row r="2" spans="1:6" customFormat="1" ht="20.25" customHeight="1" x14ac:dyDescent="0.2">
      <c r="A2" s="25"/>
      <c r="B2" s="25"/>
      <c r="C2" s="25"/>
      <c r="D2" s="179" t="s">
        <v>168</v>
      </c>
      <c r="E2" s="180" t="str">
        <f>Ballast!$H$2</f>
        <v>F</v>
      </c>
    </row>
    <row r="3" spans="1:6" customFormat="1" ht="20.25" customHeight="1" x14ac:dyDescent="0.2">
      <c r="A3" s="25"/>
      <c r="B3" s="25"/>
      <c r="C3" s="25"/>
      <c r="D3" s="179" t="s">
        <v>1</v>
      </c>
      <c r="E3" s="181">
        <f>Ballast!$H$3</f>
        <v>41813</v>
      </c>
    </row>
    <row r="4" spans="1:6" customFormat="1" ht="20.25" customHeight="1" thickBot="1" x14ac:dyDescent="0.25">
      <c r="A4" s="25"/>
      <c r="B4" s="25"/>
      <c r="C4" s="25"/>
      <c r="D4" s="182" t="s">
        <v>169</v>
      </c>
      <c r="E4" s="183">
        <f>Ballast!$H$4</f>
        <v>12698</v>
      </c>
    </row>
    <row r="5" spans="1:6" customFormat="1" ht="15" customHeight="1" thickBot="1" x14ac:dyDescent="0.25">
      <c r="A5" s="25"/>
      <c r="B5" s="25"/>
      <c r="C5" s="25"/>
      <c r="D5" s="25"/>
      <c r="E5" s="25"/>
    </row>
    <row r="6" spans="1:6" customFormat="1" ht="15" customHeight="1" thickTop="1" thickBot="1" x14ac:dyDescent="0.25">
      <c r="A6" s="217"/>
      <c r="B6" s="217"/>
      <c r="C6" s="217"/>
      <c r="D6" s="217"/>
      <c r="E6" s="217"/>
    </row>
    <row r="7" spans="1:6" x14ac:dyDescent="0.2">
      <c r="A7" s="174" t="s">
        <v>38</v>
      </c>
      <c r="B7" s="247" t="str">
        <f>IF(ISBLANK(Ballast!C13),"",Ballast!C13)</f>
        <v/>
      </c>
      <c r="F7" s="33"/>
    </row>
    <row r="8" spans="1:6" ht="13.5" thickBot="1" x14ac:dyDescent="0.25">
      <c r="A8" s="175" t="s">
        <v>1</v>
      </c>
      <c r="B8" s="248" t="str">
        <f>IF(ISBLANK(Ballast!C15),"",Ballast!C15)</f>
        <v/>
      </c>
      <c r="F8" s="33"/>
    </row>
    <row r="9" spans="1:6" x14ac:dyDescent="0.2">
      <c r="A9" s="34"/>
      <c r="C9" s="90"/>
      <c r="D9" s="90"/>
      <c r="E9" s="90"/>
      <c r="F9" s="33"/>
    </row>
    <row r="10" spans="1:6" x14ac:dyDescent="0.2">
      <c r="A10" s="34"/>
      <c r="C10" s="90"/>
      <c r="D10" s="90"/>
      <c r="E10" s="90"/>
      <c r="F10" s="33"/>
    </row>
    <row r="11" spans="1:6" x14ac:dyDescent="0.2">
      <c r="A11" s="34"/>
      <c r="C11" s="90"/>
      <c r="D11" s="90"/>
      <c r="E11" s="90"/>
      <c r="F11" s="33"/>
    </row>
    <row r="12" spans="1:6" x14ac:dyDescent="0.2">
      <c r="A12" s="34"/>
      <c r="C12" s="90"/>
      <c r="D12" s="90"/>
      <c r="E12" s="90"/>
      <c r="F12" s="33"/>
    </row>
    <row r="13" spans="1:6" x14ac:dyDescent="0.2">
      <c r="A13" s="34"/>
      <c r="C13" s="90"/>
      <c r="D13" s="90"/>
      <c r="E13" s="90"/>
      <c r="F13" s="33"/>
    </row>
    <row r="14" spans="1:6" x14ac:dyDescent="0.2">
      <c r="A14" s="34"/>
      <c r="C14" s="90"/>
      <c r="D14" s="90"/>
      <c r="E14" s="90"/>
      <c r="F14" s="33"/>
    </row>
    <row r="15" spans="1:6" x14ac:dyDescent="0.2">
      <c r="A15" s="393" t="s">
        <v>186</v>
      </c>
      <c r="B15" s="393"/>
      <c r="C15" s="393"/>
      <c r="D15" s="393"/>
      <c r="E15" s="90"/>
      <c r="F15" s="33"/>
    </row>
    <row r="16" spans="1:6" ht="13.5" thickBot="1" x14ac:dyDescent="0.25">
      <c r="A16" s="34"/>
      <c r="F16" s="33"/>
    </row>
    <row r="17" spans="1:6" x14ac:dyDescent="0.2">
      <c r="A17" s="35" t="s">
        <v>69</v>
      </c>
      <c r="B17" s="36"/>
      <c r="C17" s="36"/>
      <c r="D17" s="37"/>
      <c r="F17" s="33"/>
    </row>
    <row r="18" spans="1:6" x14ac:dyDescent="0.2">
      <c r="A18" s="38"/>
      <c r="B18" s="39" t="s">
        <v>48</v>
      </c>
      <c r="C18" s="77">
        <v>0</v>
      </c>
      <c r="D18" s="40" t="s">
        <v>10</v>
      </c>
      <c r="E18" s="192" t="str">
        <f>IF(C18&gt;5000,"Error: scale reading too high",IF(C18&lt;0,"Error: scale reading should be positive",""))</f>
        <v/>
      </c>
      <c r="F18" s="33"/>
    </row>
    <row r="19" spans="1:6" x14ac:dyDescent="0.2">
      <c r="A19" s="41"/>
      <c r="B19" s="42" t="s">
        <v>49</v>
      </c>
      <c r="C19" s="77">
        <v>0</v>
      </c>
      <c r="D19" s="40" t="s">
        <v>10</v>
      </c>
      <c r="E19" s="192" t="str">
        <f>IF(C19&gt;5000,"Error: scale reading too high",IF(C19&lt;0,"Error: scale reading should be positive",""))</f>
        <v/>
      </c>
      <c r="F19" s="33"/>
    </row>
    <row r="20" spans="1:6" x14ac:dyDescent="0.2">
      <c r="A20" s="41"/>
      <c r="B20" s="42" t="s">
        <v>50</v>
      </c>
      <c r="C20" s="194">
        <f>Ballast!G39</f>
        <v>0</v>
      </c>
      <c r="D20" s="40" t="s">
        <v>10</v>
      </c>
      <c r="E20" s="90"/>
      <c r="F20" s="33"/>
    </row>
    <row r="21" spans="1:6" x14ac:dyDescent="0.2">
      <c r="A21" s="43"/>
      <c r="B21" s="44" t="str">
        <f>IF((C18+C19-C20)&gt;0,"Total weight to remove:","Total weight to add:")</f>
        <v>Total weight to add:</v>
      </c>
      <c r="C21" s="196">
        <f>ABS(C18+C19-C20)</f>
        <v>0</v>
      </c>
      <c r="D21" s="45" t="s">
        <v>10</v>
      </c>
      <c r="E21" s="90"/>
      <c r="F21" s="33"/>
    </row>
    <row r="22" spans="1:6" x14ac:dyDescent="0.2">
      <c r="A22" s="193"/>
      <c r="B22" s="197"/>
      <c r="C22" s="198"/>
      <c r="D22" s="40"/>
      <c r="E22" s="90"/>
      <c r="F22" s="33"/>
    </row>
    <row r="23" spans="1:6" x14ac:dyDescent="0.2">
      <c r="A23" s="193"/>
      <c r="B23" s="47" t="s">
        <v>47</v>
      </c>
      <c r="C23" s="48" t="s">
        <v>51</v>
      </c>
      <c r="D23" s="40"/>
      <c r="E23" s="90"/>
      <c r="F23" s="33"/>
    </row>
    <row r="24" spans="1:6" x14ac:dyDescent="0.2">
      <c r="A24" s="193"/>
      <c r="B24" s="49" t="s">
        <v>75</v>
      </c>
      <c r="C24" s="49" t="s">
        <v>75</v>
      </c>
      <c r="D24" s="40"/>
      <c r="E24" s="90"/>
      <c r="F24" s="33"/>
    </row>
    <row r="25" spans="1:6" x14ac:dyDescent="0.2">
      <c r="A25" s="50" t="s">
        <v>42</v>
      </c>
      <c r="B25" s="78">
        <v>1</v>
      </c>
      <c r="C25" s="199">
        <f>B25-$C$31</f>
        <v>-22</v>
      </c>
      <c r="D25" s="40"/>
      <c r="E25" s="90" t="str">
        <f>IF(B25&lt;-10,"Error: Check scale position",IF(B25&gt;30, "Error, check scale position",""))</f>
        <v/>
      </c>
      <c r="F25" s="33"/>
    </row>
    <row r="26" spans="1:6" x14ac:dyDescent="0.2">
      <c r="A26" s="50" t="s">
        <v>43</v>
      </c>
      <c r="B26" s="78">
        <v>47.5</v>
      </c>
      <c r="C26" s="199">
        <f>B26-$C$31</f>
        <v>24.5</v>
      </c>
      <c r="D26" s="40"/>
      <c r="E26" s="90" t="str">
        <f>IF(B26&lt;20,"Error: Check scale position",IF(B26&gt;70, "Error, check scale position",""))</f>
        <v/>
      </c>
      <c r="F26" s="33"/>
    </row>
    <row r="27" spans="1:6" x14ac:dyDescent="0.2">
      <c r="A27" s="193"/>
      <c r="B27" s="200"/>
      <c r="C27" s="197"/>
      <c r="D27" s="40"/>
      <c r="E27" s="90"/>
      <c r="F27" s="33"/>
    </row>
    <row r="28" spans="1:6" ht="13.5" thickBot="1" x14ac:dyDescent="0.25">
      <c r="A28" s="51"/>
      <c r="B28" s="52" t="s">
        <v>83</v>
      </c>
      <c r="C28" s="186">
        <f>(C18*C25)+(C19*C26)</f>
        <v>0</v>
      </c>
      <c r="D28" s="53" t="s">
        <v>39</v>
      </c>
      <c r="E28" s="90"/>
      <c r="F28" s="33"/>
    </row>
    <row r="29" spans="1:6" ht="13.5" thickBot="1" x14ac:dyDescent="0.25">
      <c r="A29" s="197"/>
      <c r="B29" s="202"/>
      <c r="C29" s="197"/>
      <c r="D29" s="197"/>
      <c r="E29" s="197"/>
      <c r="F29" s="54" t="s">
        <v>90</v>
      </c>
    </row>
    <row r="30" spans="1:6" x14ac:dyDescent="0.2">
      <c r="A30" s="55" t="s">
        <v>45</v>
      </c>
      <c r="B30" s="188"/>
      <c r="C30" s="188"/>
      <c r="D30" s="189"/>
      <c r="E30" s="197"/>
      <c r="F30" s="33" t="s">
        <v>70</v>
      </c>
    </row>
    <row r="31" spans="1:6" x14ac:dyDescent="0.2">
      <c r="A31" s="41"/>
      <c r="B31" s="56" t="s">
        <v>44</v>
      </c>
      <c r="C31" s="79">
        <v>23</v>
      </c>
      <c r="D31" s="203"/>
      <c r="E31" s="197"/>
      <c r="F31" s="33" t="s">
        <v>46</v>
      </c>
    </row>
    <row r="32" spans="1:6" ht="13.5" thickBot="1" x14ac:dyDescent="0.25">
      <c r="A32" s="41"/>
      <c r="B32" s="29"/>
      <c r="C32" s="197"/>
      <c r="D32" s="191"/>
      <c r="E32" s="197"/>
      <c r="F32" s="33" t="s">
        <v>77</v>
      </c>
    </row>
    <row r="33" spans="1:6" x14ac:dyDescent="0.2">
      <c r="A33" s="57" t="s">
        <v>53</v>
      </c>
      <c r="B33" s="57" t="s">
        <v>74</v>
      </c>
      <c r="C33" s="57" t="s">
        <v>76</v>
      </c>
      <c r="D33" s="191"/>
      <c r="E33" s="197"/>
      <c r="F33" s="33" t="s">
        <v>96</v>
      </c>
    </row>
    <row r="34" spans="1:6" ht="13.5" thickBot="1" x14ac:dyDescent="0.25">
      <c r="A34" s="58"/>
      <c r="B34" s="58" t="s">
        <v>75</v>
      </c>
      <c r="C34" s="58" t="s">
        <v>75</v>
      </c>
      <c r="D34" s="191"/>
      <c r="E34" s="197"/>
      <c r="F34" s="33" t="s">
        <v>97</v>
      </c>
    </row>
    <row r="35" spans="1:6" x14ac:dyDescent="0.2">
      <c r="A35" s="214" t="s">
        <v>87</v>
      </c>
      <c r="B35" s="80">
        <v>2</v>
      </c>
      <c r="C35" s="204">
        <f t="shared" ref="C35:C42" si="0">B35-C$31</f>
        <v>-21</v>
      </c>
      <c r="D35" s="191"/>
      <c r="E35" s="197"/>
      <c r="F35" s="33"/>
    </row>
    <row r="36" spans="1:6" x14ac:dyDescent="0.2">
      <c r="A36" s="215" t="s">
        <v>88</v>
      </c>
      <c r="B36" s="235">
        <v>9999</v>
      </c>
      <c r="C36" s="199">
        <f t="shared" si="0"/>
        <v>9976</v>
      </c>
      <c r="D36" s="191"/>
      <c r="E36" s="197"/>
    </row>
    <row r="37" spans="1:6" x14ac:dyDescent="0.2">
      <c r="A37" s="215" t="s">
        <v>56</v>
      </c>
      <c r="B37" s="228">
        <v>20.375</v>
      </c>
      <c r="C37" s="199">
        <f t="shared" si="0"/>
        <v>-2.625</v>
      </c>
      <c r="D37" s="191"/>
      <c r="E37" s="197"/>
      <c r="F37" s="33"/>
    </row>
    <row r="38" spans="1:6" x14ac:dyDescent="0.2">
      <c r="A38" s="215" t="s">
        <v>57</v>
      </c>
      <c r="B38" s="228">
        <v>22.125</v>
      </c>
      <c r="C38" s="199">
        <f t="shared" si="0"/>
        <v>-0.875</v>
      </c>
      <c r="D38" s="191"/>
      <c r="E38" s="197"/>
      <c r="F38" s="33"/>
    </row>
    <row r="39" spans="1:6" x14ac:dyDescent="0.2">
      <c r="A39" s="215" t="s">
        <v>52</v>
      </c>
      <c r="B39" s="228">
        <v>23</v>
      </c>
      <c r="C39" s="199">
        <f t="shared" si="0"/>
        <v>0</v>
      </c>
      <c r="D39" s="191"/>
      <c r="E39" s="197"/>
      <c r="F39" s="33"/>
    </row>
    <row r="40" spans="1:6" x14ac:dyDescent="0.2">
      <c r="A40" s="215" t="s">
        <v>58</v>
      </c>
      <c r="B40" s="228">
        <v>26.5</v>
      </c>
      <c r="C40" s="199">
        <f t="shared" si="0"/>
        <v>3.5</v>
      </c>
      <c r="D40" s="191"/>
      <c r="E40" s="197"/>
      <c r="F40" s="33"/>
    </row>
    <row r="41" spans="1:6" x14ac:dyDescent="0.2">
      <c r="A41" s="215" t="s">
        <v>59</v>
      </c>
      <c r="B41" s="81">
        <v>28.375</v>
      </c>
      <c r="C41" s="199">
        <f t="shared" si="0"/>
        <v>5.375</v>
      </c>
      <c r="D41" s="191"/>
      <c r="E41" s="197"/>
      <c r="F41" s="33"/>
    </row>
    <row r="42" spans="1:6" ht="13.5" thickBot="1" x14ac:dyDescent="0.25">
      <c r="A42" s="216" t="s">
        <v>40</v>
      </c>
      <c r="B42" s="83">
        <v>47.5</v>
      </c>
      <c r="C42" s="205">
        <f t="shared" si="0"/>
        <v>24.5</v>
      </c>
      <c r="D42" s="206"/>
      <c r="E42" s="197"/>
      <c r="F42" s="33"/>
    </row>
    <row r="43" spans="1:6" ht="13.5" thickBot="1" x14ac:dyDescent="0.25">
      <c r="A43" s="90"/>
      <c r="B43" s="90"/>
      <c r="C43" s="90"/>
      <c r="D43" s="90"/>
      <c r="E43" s="90"/>
      <c r="F43" s="33"/>
    </row>
    <row r="44" spans="1:6" x14ac:dyDescent="0.2">
      <c r="A44" s="55" t="s">
        <v>66</v>
      </c>
      <c r="B44" s="188"/>
      <c r="C44" s="188"/>
      <c r="D44" s="189"/>
      <c r="E44" s="90"/>
      <c r="F44" s="33"/>
    </row>
    <row r="45" spans="1:6" ht="13.5" thickBot="1" x14ac:dyDescent="0.25">
      <c r="A45" s="193"/>
      <c r="B45" s="197"/>
      <c r="C45" s="197"/>
      <c r="D45" s="191"/>
      <c r="E45" s="90"/>
      <c r="F45" s="33"/>
    </row>
    <row r="46" spans="1:6" ht="26.25" customHeight="1" x14ac:dyDescent="0.2">
      <c r="A46" s="57" t="s">
        <v>84</v>
      </c>
      <c r="B46" s="57" t="s">
        <v>67</v>
      </c>
      <c r="C46" s="36" t="s">
        <v>60</v>
      </c>
      <c r="D46" s="173" t="s">
        <v>61</v>
      </c>
      <c r="E46" s="212" t="s">
        <v>98</v>
      </c>
      <c r="F46" s="33"/>
    </row>
    <row r="47" spans="1:6" ht="13.5" thickBot="1" x14ac:dyDescent="0.25">
      <c r="A47" s="60" t="s">
        <v>85</v>
      </c>
      <c r="B47" s="58"/>
      <c r="C47" s="61" t="s">
        <v>72</v>
      </c>
      <c r="D47" s="60" t="s">
        <v>73</v>
      </c>
      <c r="E47" s="213" t="s">
        <v>99</v>
      </c>
      <c r="F47" s="33"/>
    </row>
    <row r="48" spans="1:6" x14ac:dyDescent="0.2">
      <c r="A48" s="84">
        <v>1</v>
      </c>
      <c r="B48" s="62" t="str">
        <f t="shared" ref="B48:B55" si="1">A35</f>
        <v>Forward</v>
      </c>
      <c r="C48" s="85">
        <v>0</v>
      </c>
      <c r="D48" s="207">
        <f t="shared" ref="D48:D55" si="2">C35*C48</f>
        <v>0</v>
      </c>
      <c r="E48" s="91"/>
      <c r="F48" s="94" t="str">
        <f t="shared" ref="F48:F56" si="3">IF(ABS(C48)&gt;5000,"Error: Weight adjustment too high","")</f>
        <v/>
      </c>
    </row>
    <row r="49" spans="1:6" x14ac:dyDescent="0.2">
      <c r="A49" s="85">
        <v>0</v>
      </c>
      <c r="B49" s="62" t="str">
        <f t="shared" si="1"/>
        <v>unused</v>
      </c>
      <c r="C49" s="85">
        <v>0</v>
      </c>
      <c r="D49" s="207">
        <f t="shared" si="2"/>
        <v>0</v>
      </c>
      <c r="E49" s="92"/>
      <c r="F49" s="94" t="str">
        <f t="shared" si="3"/>
        <v/>
      </c>
    </row>
    <row r="50" spans="1:6" x14ac:dyDescent="0.2">
      <c r="A50" s="85">
        <v>1</v>
      </c>
      <c r="B50" s="62" t="str">
        <f t="shared" si="1"/>
        <v>Sci fwd bottles</v>
      </c>
      <c r="C50" s="85">
        <v>0</v>
      </c>
      <c r="D50" s="207">
        <f t="shared" si="2"/>
        <v>0</v>
      </c>
      <c r="E50" s="92"/>
      <c r="F50" s="94" t="str">
        <f t="shared" si="3"/>
        <v/>
      </c>
    </row>
    <row r="51" spans="1:6" x14ac:dyDescent="0.2">
      <c r="A51" s="85">
        <v>1</v>
      </c>
      <c r="B51" s="62" t="str">
        <f t="shared" si="1"/>
        <v>Sci fwd disc</v>
      </c>
      <c r="C51" s="85">
        <v>0</v>
      </c>
      <c r="D51" s="207">
        <f t="shared" si="2"/>
        <v>0</v>
      </c>
      <c r="E51" s="92"/>
      <c r="F51" s="94" t="str">
        <f t="shared" si="3"/>
        <v/>
      </c>
    </row>
    <row r="52" spans="1:6" x14ac:dyDescent="0.2">
      <c r="A52" s="85">
        <v>1</v>
      </c>
      <c r="B52" s="62" t="str">
        <f t="shared" si="1"/>
        <v>Center</v>
      </c>
      <c r="C52" s="85">
        <v>0</v>
      </c>
      <c r="D52" s="207">
        <f t="shared" si="2"/>
        <v>0</v>
      </c>
      <c r="E52" s="92"/>
      <c r="F52" s="94" t="str">
        <f t="shared" si="3"/>
        <v/>
      </c>
    </row>
    <row r="53" spans="1:6" x14ac:dyDescent="0.2">
      <c r="A53" s="85">
        <v>1</v>
      </c>
      <c r="B53" s="62" t="str">
        <f t="shared" si="1"/>
        <v>Sci aft disc</v>
      </c>
      <c r="C53" s="85">
        <v>0</v>
      </c>
      <c r="D53" s="207">
        <f t="shared" si="2"/>
        <v>0</v>
      </c>
      <c r="E53" s="92"/>
      <c r="F53" s="94" t="str">
        <f t="shared" si="3"/>
        <v/>
      </c>
    </row>
    <row r="54" spans="1:6" x14ac:dyDescent="0.2">
      <c r="A54" s="85">
        <v>1</v>
      </c>
      <c r="B54" s="62" t="str">
        <f t="shared" si="1"/>
        <v>Sci aft bottles</v>
      </c>
      <c r="C54" s="85">
        <v>0</v>
      </c>
      <c r="D54" s="207">
        <f t="shared" si="2"/>
        <v>0</v>
      </c>
      <c r="E54" s="92"/>
      <c r="F54" s="94" t="str">
        <f t="shared" si="3"/>
        <v/>
      </c>
    </row>
    <row r="55" spans="1:6" ht="13.5" thickBot="1" x14ac:dyDescent="0.25">
      <c r="A55" s="86">
        <v>1</v>
      </c>
      <c r="B55" s="58" t="str">
        <f t="shared" si="1"/>
        <v>Aft</v>
      </c>
      <c r="C55" s="86">
        <v>0</v>
      </c>
      <c r="D55" s="208">
        <f t="shared" si="2"/>
        <v>0</v>
      </c>
      <c r="E55" s="93"/>
      <c r="F55" s="94" t="str">
        <f t="shared" si="3"/>
        <v/>
      </c>
    </row>
    <row r="56" spans="1:6" ht="13.5" thickBot="1" x14ac:dyDescent="0.25">
      <c r="A56" s="201"/>
      <c r="B56" s="209"/>
      <c r="C56" s="186">
        <f>SUM(C48:C55)</f>
        <v>0</v>
      </c>
      <c r="D56" s="210">
        <f>SUM(D48:D55)</f>
        <v>0</v>
      </c>
      <c r="E56" s="90"/>
      <c r="F56" s="94" t="str">
        <f t="shared" si="3"/>
        <v/>
      </c>
    </row>
    <row r="57" spans="1:6" ht="13.5" thickBot="1" x14ac:dyDescent="0.25">
      <c r="A57" s="90"/>
      <c r="B57" s="90"/>
      <c r="C57" s="90"/>
      <c r="D57" s="90"/>
      <c r="E57" s="90"/>
      <c r="F57" s="33"/>
    </row>
    <row r="58" spans="1:6" x14ac:dyDescent="0.2">
      <c r="A58" s="55" t="s">
        <v>68</v>
      </c>
      <c r="B58" s="36"/>
      <c r="C58" s="36"/>
      <c r="D58" s="37"/>
      <c r="E58" s="197"/>
      <c r="F58" s="63"/>
    </row>
    <row r="59" spans="1:6" x14ac:dyDescent="0.2">
      <c r="A59" s="41"/>
      <c r="B59" s="64">
        <f>ABS((C18+C19-C20)+C56)</f>
        <v>0</v>
      </c>
      <c r="C59" s="31" t="str">
        <f>IF(((C18+C19-C20)+C56)&gt;=0,"additional grams need to be removed", "additional grams need to be added")</f>
        <v>additional grams need to be removed</v>
      </c>
      <c r="D59" s="40"/>
      <c r="E59" s="197"/>
      <c r="F59" s="54"/>
    </row>
    <row r="60" spans="1:6" x14ac:dyDescent="0.2">
      <c r="A60" s="41"/>
      <c r="B60" s="46">
        <f>ABS((C28+D56)/(B71-B70))</f>
        <v>0</v>
      </c>
      <c r="C60" s="46" t="str">
        <f>CONCATENATE("Grams need to move from ",IF((C28+D56)&lt;=0,INDEX(A35:A42,B67,1),INDEX(A35:A42,B68,1))," to ",IF((C28+D56)&lt;=0,INDEX(A35:A42,B68,1),INDEX(A35:A42,B67,1)))</f>
        <v>Grams need to move from Forward to Aft</v>
      </c>
      <c r="D60" s="40"/>
      <c r="E60" s="197"/>
      <c r="F60" s="54"/>
    </row>
    <row r="61" spans="1:6" x14ac:dyDescent="0.2">
      <c r="A61" s="41"/>
      <c r="B61" s="46">
        <f>INDEX(C48:C55,IF(A48,1,IF(A49,2,IF(A50,3,IF(A51,4,IF(A52,5,IF(A53,6,IF(A54,7,"Error"))))))))+(C28+D56)/(INDEX(C35:C42,IF(A55,8,IF(A54,7,IF(A53,6,IF(A52,5,IF(A51,4,IF(A50,3,IF(A49,2,"error"))))))))-INDEX(C35:C42,IF(A48,1,IF(A49,2,IF(A50,3,IF(A51,4,IF(A52,5,IF(A53,6,IF(A54,7,"Error")))))))))</f>
        <v>0</v>
      </c>
      <c r="C61" s="66" t="str">
        <f>CONCATENATE("Change ",INDEX(A35:A42,B67,1)," to this:")</f>
        <v>Change Forward to this:</v>
      </c>
      <c r="D61" s="40"/>
      <c r="E61" s="197"/>
      <c r="F61" s="54" t="s">
        <v>93</v>
      </c>
    </row>
    <row r="62" spans="1:6" ht="13.5" thickBot="1" x14ac:dyDescent="0.25">
      <c r="A62" s="51"/>
      <c r="B62" s="67">
        <f>INDEX(C48:C55,IF(A55,8,IF(A54,7,IF(A53,6,IF(A52,5,IF(A51,4,IF(A50,3,IF(A49,2,"error"))))))))-((C28+D56)/(INDEX(C35:C42,IF(A55,8,IF(A54,7,IF(A53,6,IF(A52,5,IF(A51,4,IF(A50,3,IF(A49,2,"error"))))))))-INDEX(C35:C42,IF(A48,1,IF(A49,2,IF(A50,3,IF(A51,4,IF(A52,5,IF(A53,6,IF(A54,7,"Error"))))))))))</f>
        <v>0</v>
      </c>
      <c r="C62" s="68" t="str">
        <f>CONCATENATE("Change ",INDEX(A35:A42,B68,1)," to this:")</f>
        <v>Change Aft to this:</v>
      </c>
      <c r="D62" s="59"/>
      <c r="E62" s="197"/>
      <c r="F62" s="54" t="s">
        <v>94</v>
      </c>
    </row>
    <row r="63" spans="1:6" x14ac:dyDescent="0.2">
      <c r="A63" s="197"/>
      <c r="B63" s="198"/>
      <c r="C63" s="211"/>
      <c r="D63" s="197"/>
      <c r="E63" s="197"/>
      <c r="F63" s="29"/>
    </row>
    <row r="64" spans="1:6" x14ac:dyDescent="0.2">
      <c r="A64" s="197"/>
      <c r="B64" s="198"/>
      <c r="C64" s="211"/>
      <c r="D64" s="326"/>
      <c r="E64" s="197"/>
      <c r="F64" s="29"/>
    </row>
    <row r="65" spans="1:15" s="4" customFormat="1" x14ac:dyDescent="0.2">
      <c r="A65" s="1"/>
      <c r="B65" s="1"/>
      <c r="C65" s="1"/>
      <c r="D65" s="1"/>
      <c r="E65" s="1"/>
      <c r="F65" s="1"/>
    </row>
    <row r="66" spans="1:15" s="4" customFormat="1" hidden="1" x14ac:dyDescent="0.2">
      <c r="A66" s="5" t="s">
        <v>71</v>
      </c>
      <c r="B66" s="6"/>
      <c r="C66" s="6"/>
      <c r="D66" s="7"/>
    </row>
    <row r="67" spans="1:15" s="4" customFormat="1" hidden="1" x14ac:dyDescent="0.2">
      <c r="A67" s="11"/>
      <c r="B67" s="12">
        <f>IF(A48,1,IF(A49,2,IF(A50,3,IF(A51,4,IF(A52,5,IF(A53,6,IF(A54,7,"Error")))))))</f>
        <v>1</v>
      </c>
      <c r="C67" s="12" t="s">
        <v>62</v>
      </c>
      <c r="D67" s="13"/>
    </row>
    <row r="68" spans="1:15" s="4" customFormat="1" hidden="1" x14ac:dyDescent="0.2">
      <c r="A68" s="11"/>
      <c r="B68" s="12">
        <f>IF(A55,8,IF(A54,7,IF(A53,6,IF(A52,5,IF(A51,4,IF(A50,3,IF(A49,2,"error")))))))</f>
        <v>8</v>
      </c>
      <c r="C68" s="12" t="s">
        <v>63</v>
      </c>
      <c r="D68" s="13"/>
    </row>
    <row r="69" spans="1:15" s="4" customFormat="1" hidden="1" x14ac:dyDescent="0.2">
      <c r="A69" s="14"/>
      <c r="B69" s="12"/>
      <c r="C69" s="12"/>
      <c r="D69" s="15"/>
      <c r="E69" s="16"/>
      <c r="F69" s="16"/>
    </row>
    <row r="70" spans="1:15" s="4" customFormat="1" hidden="1" x14ac:dyDescent="0.2">
      <c r="A70" s="11"/>
      <c r="B70" s="12">
        <f>INDEX(C35:C42,IF(A48,1,IF(A49,2,IF(A50,3,IF(A51,4,IF(A52,5,IF(A53,6,IF(A54,7,"Error"))))))))</f>
        <v>-21</v>
      </c>
      <c r="C70" s="12" t="s">
        <v>64</v>
      </c>
      <c r="D70" s="18"/>
      <c r="E70" s="19"/>
      <c r="F70" s="19"/>
    </row>
    <row r="71" spans="1:15" s="4" customFormat="1" ht="13.5" hidden="1" thickBot="1" x14ac:dyDescent="0.25">
      <c r="A71" s="21"/>
      <c r="B71" s="22">
        <f>INDEX(C35:C42,IF(A55,8,IF(A54,7,IF(A53,6,IF(A52,5,IF(A51,4,IF(A50,3,IF(A49,2,"error"))))))))</f>
        <v>24.5</v>
      </c>
      <c r="C71" s="22" t="s">
        <v>65</v>
      </c>
      <c r="D71" s="23"/>
      <c r="E71" s="19"/>
      <c r="F71" s="19"/>
    </row>
    <row r="72" spans="1:15" x14ac:dyDescent="0.2">
      <c r="A72" s="28"/>
      <c r="B72" s="28"/>
      <c r="C72" s="28"/>
      <c r="D72" s="28"/>
      <c r="E72" s="28"/>
      <c r="F72" s="28"/>
    </row>
    <row r="73" spans="1:15" s="28" customFormat="1" x14ac:dyDescent="0.2">
      <c r="A73" s="33" t="s">
        <v>91</v>
      </c>
      <c r="F73" s="69"/>
    </row>
    <row r="74" spans="1:15" s="74" customFormat="1" ht="30.75" customHeight="1" x14ac:dyDescent="0.2">
      <c r="A74" s="398" t="s">
        <v>92</v>
      </c>
      <c r="B74" s="395"/>
      <c r="C74" s="395"/>
      <c r="D74" s="395"/>
      <c r="E74" s="72"/>
      <c r="F74" s="73"/>
    </row>
    <row r="75" spans="1:15" s="237" customFormat="1" ht="73.5" customHeight="1" x14ac:dyDescent="0.2">
      <c r="A75" s="394" t="s">
        <v>192</v>
      </c>
      <c r="B75" s="395"/>
      <c r="C75" s="395"/>
      <c r="D75" s="395"/>
      <c r="F75" s="236"/>
    </row>
    <row r="76" spans="1:15" s="237" customFormat="1" ht="78" customHeight="1" x14ac:dyDescent="0.2">
      <c r="A76" s="394" t="s">
        <v>193</v>
      </c>
      <c r="B76" s="395"/>
      <c r="C76" s="395"/>
      <c r="D76" s="395"/>
      <c r="F76" s="236"/>
      <c r="H76" s="75"/>
      <c r="I76" s="75"/>
      <c r="J76" s="75"/>
      <c r="K76" s="75"/>
      <c r="L76" s="75"/>
      <c r="M76" s="75"/>
      <c r="N76" s="75"/>
      <c r="O76" s="75"/>
    </row>
    <row r="77" spans="1:15" s="237" customFormat="1" ht="78.75" customHeight="1" x14ac:dyDescent="0.2">
      <c r="A77" s="394" t="s">
        <v>194</v>
      </c>
      <c r="B77" s="395"/>
      <c r="C77" s="395"/>
      <c r="D77" s="395"/>
      <c r="F77" s="236"/>
      <c r="H77" s="75"/>
      <c r="I77" s="75"/>
      <c r="J77" s="75"/>
      <c r="K77" s="75"/>
      <c r="L77" s="75"/>
      <c r="M77" s="75"/>
      <c r="N77" s="75"/>
      <c r="O77" s="75"/>
    </row>
    <row r="78" spans="1:15" s="237" customFormat="1" ht="126" customHeight="1" x14ac:dyDescent="0.2">
      <c r="A78" s="394" t="s">
        <v>195</v>
      </c>
      <c r="B78" s="395"/>
      <c r="C78" s="395"/>
      <c r="D78" s="395"/>
      <c r="F78" s="236"/>
      <c r="H78" s="75"/>
      <c r="I78" s="75"/>
      <c r="J78" s="75"/>
      <c r="K78" s="75"/>
      <c r="L78" s="75"/>
      <c r="M78" s="75"/>
      <c r="N78" s="75"/>
      <c r="O78" s="75"/>
    </row>
    <row r="79" spans="1:15" s="237" customFormat="1" ht="60.75" customHeight="1" x14ac:dyDescent="0.2">
      <c r="A79" s="394" t="s">
        <v>196</v>
      </c>
      <c r="B79" s="395"/>
      <c r="C79" s="395"/>
      <c r="D79" s="395"/>
      <c r="E79" s="75"/>
      <c r="F79" s="236"/>
      <c r="H79" s="75"/>
      <c r="I79" s="75"/>
      <c r="J79" s="75"/>
      <c r="K79" s="75"/>
      <c r="L79" s="75"/>
      <c r="M79" s="75"/>
      <c r="N79" s="75"/>
      <c r="O79" s="75"/>
    </row>
    <row r="80" spans="1:15" ht="34.5" customHeight="1" x14ac:dyDescent="0.2">
      <c r="A80" s="396" t="s">
        <v>95</v>
      </c>
      <c r="B80" s="397"/>
      <c r="C80" s="397"/>
      <c r="D80" s="397"/>
      <c r="E80" s="29"/>
      <c r="F80" s="54"/>
      <c r="G80" s="29"/>
      <c r="H80" s="29"/>
      <c r="I80" s="29"/>
      <c r="J80" s="29"/>
      <c r="K80" s="29"/>
      <c r="L80" s="29"/>
      <c r="M80" s="29"/>
      <c r="N80" s="29"/>
      <c r="O80" s="29"/>
    </row>
    <row r="81" spans="1:15" x14ac:dyDescent="0.2">
      <c r="A81" s="29"/>
      <c r="B81" s="29"/>
      <c r="C81" s="76"/>
      <c r="D81" s="46"/>
      <c r="E81" s="29"/>
      <c r="F81" s="54"/>
      <c r="G81" s="29"/>
      <c r="H81" s="29"/>
      <c r="I81" s="29"/>
      <c r="J81" s="29"/>
      <c r="K81" s="29"/>
      <c r="L81" s="29"/>
      <c r="M81" s="29"/>
      <c r="N81" s="29"/>
      <c r="O81" s="29"/>
    </row>
    <row r="82" spans="1:15" x14ac:dyDescent="0.2">
      <c r="A82" s="29" t="s">
        <v>100</v>
      </c>
      <c r="B82" s="29"/>
      <c r="C82" s="76"/>
      <c r="D82" s="46"/>
      <c r="E82" s="29"/>
      <c r="F82" s="54"/>
      <c r="G82" s="29"/>
      <c r="H82" s="29"/>
      <c r="I82" s="29"/>
      <c r="J82" s="29"/>
      <c r="K82" s="29"/>
      <c r="L82" s="29"/>
      <c r="M82" s="29"/>
      <c r="N82" s="29"/>
      <c r="O82" s="29"/>
    </row>
  </sheetData>
  <sheetProtection password="DA1B" sheet="1" objects="1" scenarios="1"/>
  <mergeCells count="8">
    <mergeCell ref="A15:D15"/>
    <mergeCell ref="A80:D80"/>
    <mergeCell ref="A74:D74"/>
    <mergeCell ref="A75:D75"/>
    <mergeCell ref="A76:D76"/>
    <mergeCell ref="A77:D77"/>
    <mergeCell ref="A78:D78"/>
    <mergeCell ref="A79:D79"/>
  </mergeCells>
  <phoneticPr fontId="0" type="noConversion"/>
  <pageMargins left="0.75" right="0.75" top="1" bottom="1" header="0.5" footer="0.5"/>
  <pageSetup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82"/>
  <sheetViews>
    <sheetView zoomScaleNormal="100" zoomScaleSheetLayoutView="115" workbookViewId="0"/>
  </sheetViews>
  <sheetFormatPr defaultColWidth="9.140625" defaultRowHeight="12.75" x14ac:dyDescent="0.2"/>
  <cols>
    <col min="1" max="1" width="31.140625" style="25" customWidth="1"/>
    <col min="2" max="2" width="17.85546875" style="25" customWidth="1"/>
    <col min="3" max="3" width="23.28515625" style="25" customWidth="1"/>
    <col min="4" max="4" width="14.140625" style="25" customWidth="1"/>
    <col min="5" max="5" width="13.7109375" style="25" bestFit="1" customWidth="1"/>
    <col min="6" max="6" width="86.7109375" style="25" bestFit="1" customWidth="1"/>
    <col min="7" max="16384" width="9.140625" style="25"/>
  </cols>
  <sheetData>
    <row r="1" spans="1:6" customFormat="1" ht="20.25" customHeight="1" x14ac:dyDescent="0.2">
      <c r="A1" s="25"/>
      <c r="B1" s="25"/>
      <c r="C1" s="90"/>
      <c r="D1" s="177" t="s">
        <v>167</v>
      </c>
      <c r="E1" s="178" t="str">
        <f>Ballast!$H$1</f>
        <v>4095-GBPSH</v>
      </c>
    </row>
    <row r="2" spans="1:6" customFormat="1" ht="20.25" customHeight="1" x14ac:dyDescent="0.2">
      <c r="A2" s="25"/>
      <c r="B2" s="25"/>
      <c r="C2" s="90"/>
      <c r="D2" s="179" t="s">
        <v>168</v>
      </c>
      <c r="E2" s="180" t="str">
        <f>Ballast!$H$2</f>
        <v>F</v>
      </c>
    </row>
    <row r="3" spans="1:6" customFormat="1" ht="20.25" customHeight="1" x14ac:dyDescent="0.2">
      <c r="A3" s="25"/>
      <c r="B3" s="25"/>
      <c r="C3" s="90"/>
      <c r="D3" s="179" t="s">
        <v>1</v>
      </c>
      <c r="E3" s="181">
        <f>Ballast!$H$3</f>
        <v>41813</v>
      </c>
    </row>
    <row r="4" spans="1:6" customFormat="1" ht="20.25" customHeight="1" thickBot="1" x14ac:dyDescent="0.25">
      <c r="A4" s="25"/>
      <c r="B4" s="25"/>
      <c r="C4" s="90"/>
      <c r="D4" s="182" t="s">
        <v>169</v>
      </c>
      <c r="E4" s="183">
        <f>Ballast!$H$4</f>
        <v>12698</v>
      </c>
    </row>
    <row r="5" spans="1:6" customFormat="1" ht="15" customHeight="1" thickBot="1" x14ac:dyDescent="0.25">
      <c r="A5" s="25"/>
      <c r="B5" s="25"/>
      <c r="C5" s="90"/>
      <c r="D5" s="90"/>
      <c r="E5" s="90"/>
    </row>
    <row r="6" spans="1:6" customFormat="1" ht="15" customHeight="1" thickTop="1" thickBot="1" x14ac:dyDescent="0.25">
      <c r="A6" s="217"/>
      <c r="B6" s="217"/>
      <c r="C6" s="187"/>
      <c r="D6" s="187"/>
      <c r="E6" s="187"/>
    </row>
    <row r="7" spans="1:6" x14ac:dyDescent="0.2">
      <c r="A7" s="174" t="s">
        <v>38</v>
      </c>
      <c r="B7" s="247" t="str">
        <f>IF(ISBLANK(Ballast!C13),"",Ballast!C13)</f>
        <v/>
      </c>
      <c r="C7" s="90"/>
      <c r="D7" s="90"/>
      <c r="E7" s="90"/>
      <c r="F7" s="33"/>
    </row>
    <row r="8" spans="1:6" ht="13.5" thickBot="1" x14ac:dyDescent="0.25">
      <c r="A8" s="175" t="s">
        <v>1</v>
      </c>
      <c r="B8" s="248" t="str">
        <f>IF(ISBLANK(Ballast!C15),"",Ballast!C15)</f>
        <v/>
      </c>
      <c r="C8" s="90"/>
      <c r="D8" s="90"/>
      <c r="E8" s="90"/>
      <c r="F8" s="33"/>
    </row>
    <row r="9" spans="1:6" x14ac:dyDescent="0.2">
      <c r="A9" s="34"/>
      <c r="C9" s="90"/>
      <c r="D9" s="90"/>
      <c r="E9" s="90"/>
      <c r="F9" s="33"/>
    </row>
    <row r="10" spans="1:6" x14ac:dyDescent="0.2">
      <c r="A10" s="34"/>
      <c r="C10" s="90"/>
      <c r="D10" s="90"/>
      <c r="E10" s="90"/>
      <c r="F10" s="33"/>
    </row>
    <row r="11" spans="1:6" x14ac:dyDescent="0.2">
      <c r="A11" s="34"/>
      <c r="C11" s="90"/>
      <c r="D11" s="90"/>
      <c r="E11" s="90"/>
      <c r="F11" s="33"/>
    </row>
    <row r="12" spans="1:6" x14ac:dyDescent="0.2">
      <c r="A12" s="34"/>
      <c r="C12" s="90"/>
      <c r="D12" s="90"/>
      <c r="E12" s="90"/>
      <c r="F12" s="33"/>
    </row>
    <row r="13" spans="1:6" x14ac:dyDescent="0.2">
      <c r="A13" s="34"/>
      <c r="C13" s="90"/>
      <c r="D13" s="90"/>
      <c r="E13" s="90"/>
      <c r="F13" s="33"/>
    </row>
    <row r="14" spans="1:6" x14ac:dyDescent="0.2">
      <c r="A14" s="34"/>
      <c r="C14" s="90"/>
      <c r="D14" s="90"/>
      <c r="E14" s="90"/>
      <c r="F14" s="33"/>
    </row>
    <row r="15" spans="1:6" x14ac:dyDescent="0.2">
      <c r="A15" s="393" t="s">
        <v>186</v>
      </c>
      <c r="B15" s="393"/>
      <c r="C15" s="393"/>
      <c r="D15" s="393"/>
      <c r="E15" s="90"/>
      <c r="F15" s="33"/>
    </row>
    <row r="16" spans="1:6" ht="13.5" thickBot="1" x14ac:dyDescent="0.25">
      <c r="A16" s="34"/>
      <c r="C16" s="90"/>
      <c r="D16" s="90"/>
      <c r="E16" s="90"/>
      <c r="F16" s="33"/>
    </row>
    <row r="17" spans="1:6" x14ac:dyDescent="0.2">
      <c r="A17" s="35" t="s">
        <v>69</v>
      </c>
      <c r="B17" s="36"/>
      <c r="C17" s="188"/>
      <c r="D17" s="189"/>
      <c r="E17" s="90"/>
      <c r="F17" s="33"/>
    </row>
    <row r="18" spans="1:6" x14ac:dyDescent="0.2">
      <c r="A18" s="38"/>
      <c r="B18" s="39" t="s">
        <v>48</v>
      </c>
      <c r="C18" s="77">
        <v>0</v>
      </c>
      <c r="D18" s="40" t="s">
        <v>10</v>
      </c>
      <c r="E18" s="192" t="str">
        <f>IF(C18&gt;5000,"Error: scale reading too high",IF(C18&lt;0,"Error: scale reading should be positive",""))</f>
        <v/>
      </c>
      <c r="F18" s="33"/>
    </row>
    <row r="19" spans="1:6" x14ac:dyDescent="0.2">
      <c r="A19" s="41"/>
      <c r="B19" s="42" t="s">
        <v>49</v>
      </c>
      <c r="C19" s="77">
        <v>0</v>
      </c>
      <c r="D19" s="40" t="s">
        <v>10</v>
      </c>
      <c r="E19" s="192" t="str">
        <f>IF(C19&gt;5000,"Error: scale reading too high",IF(C19&lt;0,"Error: scale reading should be positive",""))</f>
        <v/>
      </c>
      <c r="F19" s="33"/>
    </row>
    <row r="20" spans="1:6" x14ac:dyDescent="0.2">
      <c r="A20" s="41"/>
      <c r="B20" s="42" t="s">
        <v>50</v>
      </c>
      <c r="C20" s="194">
        <f>Ballast!G39</f>
        <v>0</v>
      </c>
      <c r="D20" s="40" t="s">
        <v>10</v>
      </c>
      <c r="E20" s="90"/>
      <c r="F20" s="33"/>
    </row>
    <row r="21" spans="1:6" x14ac:dyDescent="0.2">
      <c r="A21" s="43"/>
      <c r="B21" s="44" t="str">
        <f>IF((C18+C19-C20)&gt;0,"Total weight to remove:","Total weight to add:")</f>
        <v>Total weight to add:</v>
      </c>
      <c r="C21" s="196">
        <f>ABS(C18+C19-C20)</f>
        <v>0</v>
      </c>
      <c r="D21" s="45" t="s">
        <v>10</v>
      </c>
      <c r="E21" s="90"/>
      <c r="F21" s="33"/>
    </row>
    <row r="22" spans="1:6" x14ac:dyDescent="0.2">
      <c r="A22" s="193"/>
      <c r="B22" s="197"/>
      <c r="C22" s="198"/>
      <c r="D22" s="40"/>
      <c r="E22" s="90"/>
      <c r="F22" s="33"/>
    </row>
    <row r="23" spans="1:6" x14ac:dyDescent="0.2">
      <c r="A23" s="193"/>
      <c r="B23" s="47" t="s">
        <v>47</v>
      </c>
      <c r="C23" s="48" t="s">
        <v>51</v>
      </c>
      <c r="D23" s="40"/>
      <c r="E23" s="90"/>
      <c r="F23" s="33"/>
    </row>
    <row r="24" spans="1:6" x14ac:dyDescent="0.2">
      <c r="A24" s="193"/>
      <c r="B24" s="49" t="s">
        <v>75</v>
      </c>
      <c r="C24" s="49" t="s">
        <v>75</v>
      </c>
      <c r="D24" s="40"/>
      <c r="E24" s="90"/>
      <c r="F24" s="33"/>
    </row>
    <row r="25" spans="1:6" x14ac:dyDescent="0.2">
      <c r="A25" s="50" t="s">
        <v>42</v>
      </c>
      <c r="B25" s="227">
        <v>1</v>
      </c>
      <c r="C25" s="199">
        <f>B25-$C$31</f>
        <v>-22</v>
      </c>
      <c r="D25" s="40"/>
      <c r="E25" s="90" t="str">
        <f>IF(B25&lt;-10,"Error: Check scale position",IF(B25&gt;30, "Error, check scale position",""))</f>
        <v/>
      </c>
      <c r="F25" s="33"/>
    </row>
    <row r="26" spans="1:6" x14ac:dyDescent="0.2">
      <c r="A26" s="50" t="s">
        <v>43</v>
      </c>
      <c r="B26" s="227">
        <v>49</v>
      </c>
      <c r="C26" s="199">
        <f>B26-$C$31</f>
        <v>26</v>
      </c>
      <c r="D26" s="40"/>
      <c r="E26" s="90" t="str">
        <f>IF(B26&lt;20,"Error: Check scale position",IF(B26&gt;70, "Error, check scale position",""))</f>
        <v/>
      </c>
      <c r="F26" s="33"/>
    </row>
    <row r="27" spans="1:6" x14ac:dyDescent="0.2">
      <c r="A27" s="41"/>
      <c r="B27" s="28"/>
      <c r="C27" s="197"/>
      <c r="D27" s="40"/>
      <c r="E27" s="90"/>
      <c r="F27" s="33"/>
    </row>
    <row r="28" spans="1:6" ht="13.5" thickBot="1" x14ac:dyDescent="0.25">
      <c r="A28" s="51"/>
      <c r="B28" s="52" t="s">
        <v>83</v>
      </c>
      <c r="C28" s="186">
        <f>(C18*C25)+(C19*C26)</f>
        <v>0</v>
      </c>
      <c r="D28" s="53" t="s">
        <v>39</v>
      </c>
      <c r="E28" s="90"/>
      <c r="F28" s="33"/>
    </row>
    <row r="29" spans="1:6" ht="13.5" thickBot="1" x14ac:dyDescent="0.25">
      <c r="A29" s="197"/>
      <c r="B29" s="202"/>
      <c r="C29" s="197"/>
      <c r="D29" s="197"/>
      <c r="E29" s="197"/>
      <c r="F29" s="54" t="s">
        <v>90</v>
      </c>
    </row>
    <row r="30" spans="1:6" x14ac:dyDescent="0.2">
      <c r="A30" s="55" t="s">
        <v>45</v>
      </c>
      <c r="B30" s="188"/>
      <c r="C30" s="188"/>
      <c r="D30" s="189"/>
      <c r="E30" s="197"/>
      <c r="F30" s="33" t="s">
        <v>70</v>
      </c>
    </row>
    <row r="31" spans="1:6" x14ac:dyDescent="0.2">
      <c r="A31" s="41"/>
      <c r="B31" s="56" t="s">
        <v>44</v>
      </c>
      <c r="C31" s="79">
        <v>23</v>
      </c>
      <c r="D31" s="203"/>
      <c r="E31" s="197"/>
      <c r="F31" s="33" t="s">
        <v>46</v>
      </c>
    </row>
    <row r="32" spans="1:6" ht="13.5" thickBot="1" x14ac:dyDescent="0.25">
      <c r="A32" s="41"/>
      <c r="B32" s="197"/>
      <c r="C32" s="197"/>
      <c r="D32" s="191"/>
      <c r="E32" s="197"/>
      <c r="F32" s="33" t="s">
        <v>77</v>
      </c>
    </row>
    <row r="33" spans="1:6" x14ac:dyDescent="0.2">
      <c r="A33" s="57" t="s">
        <v>53</v>
      </c>
      <c r="B33" s="57" t="s">
        <v>74</v>
      </c>
      <c r="C33" s="57" t="s">
        <v>76</v>
      </c>
      <c r="D33" s="191"/>
      <c r="E33" s="197"/>
      <c r="F33" s="33" t="s">
        <v>96</v>
      </c>
    </row>
    <row r="34" spans="1:6" ht="13.5" thickBot="1" x14ac:dyDescent="0.25">
      <c r="A34" s="58"/>
      <c r="B34" s="58" t="s">
        <v>75</v>
      </c>
      <c r="C34" s="58" t="s">
        <v>75</v>
      </c>
      <c r="D34" s="191"/>
      <c r="E34" s="197"/>
      <c r="F34" s="33" t="s">
        <v>97</v>
      </c>
    </row>
    <row r="35" spans="1:6" x14ac:dyDescent="0.2">
      <c r="A35" s="214" t="s">
        <v>87</v>
      </c>
      <c r="B35" s="80">
        <v>2</v>
      </c>
      <c r="C35" s="204">
        <f t="shared" ref="C35:C42" si="0">B35-C$31</f>
        <v>-21</v>
      </c>
      <c r="D35" s="191"/>
      <c r="E35" s="197"/>
      <c r="F35" s="33"/>
    </row>
    <row r="36" spans="1:6" x14ac:dyDescent="0.2">
      <c r="A36" s="225" t="s">
        <v>116</v>
      </c>
      <c r="B36" s="81">
        <v>2.125</v>
      </c>
      <c r="C36" s="199">
        <f t="shared" si="0"/>
        <v>-20.875</v>
      </c>
      <c r="D36" s="191"/>
      <c r="E36" s="197"/>
    </row>
    <row r="37" spans="1:6" x14ac:dyDescent="0.2">
      <c r="A37" s="225" t="s">
        <v>114</v>
      </c>
      <c r="B37" s="81">
        <v>19.5</v>
      </c>
      <c r="C37" s="199">
        <f t="shared" si="0"/>
        <v>-3.5</v>
      </c>
      <c r="D37" s="191"/>
      <c r="E37" s="197"/>
      <c r="F37" s="33"/>
    </row>
    <row r="38" spans="1:6" x14ac:dyDescent="0.2">
      <c r="A38" s="225" t="s">
        <v>175</v>
      </c>
      <c r="B38" s="82">
        <v>9999</v>
      </c>
      <c r="C38" s="199">
        <f t="shared" si="0"/>
        <v>9976</v>
      </c>
      <c r="D38" s="191"/>
      <c r="E38" s="197"/>
      <c r="F38" s="33"/>
    </row>
    <row r="39" spans="1:6" x14ac:dyDescent="0.2">
      <c r="A39" s="225" t="s">
        <v>52</v>
      </c>
      <c r="B39" s="81">
        <v>23.75</v>
      </c>
      <c r="C39" s="199">
        <f t="shared" si="0"/>
        <v>0.75</v>
      </c>
      <c r="D39" s="191"/>
      <c r="E39" s="197"/>
      <c r="F39" s="33"/>
    </row>
    <row r="40" spans="1:6" x14ac:dyDescent="0.2">
      <c r="A40" s="225" t="s">
        <v>176</v>
      </c>
      <c r="B40" s="82">
        <v>9999</v>
      </c>
      <c r="C40" s="199">
        <f t="shared" si="0"/>
        <v>9976</v>
      </c>
      <c r="D40" s="191"/>
      <c r="E40" s="197"/>
      <c r="F40" s="33"/>
    </row>
    <row r="41" spans="1:6" x14ac:dyDescent="0.2">
      <c r="A41" s="225" t="s">
        <v>115</v>
      </c>
      <c r="B41" s="81">
        <v>30</v>
      </c>
      <c r="C41" s="199">
        <f t="shared" si="0"/>
        <v>7</v>
      </c>
      <c r="D41" s="191"/>
      <c r="E41" s="197"/>
      <c r="F41" s="33"/>
    </row>
    <row r="42" spans="1:6" ht="13.5" thickBot="1" x14ac:dyDescent="0.25">
      <c r="A42" s="216" t="s">
        <v>40</v>
      </c>
      <c r="B42" s="83">
        <v>49.5</v>
      </c>
      <c r="C42" s="205">
        <f t="shared" si="0"/>
        <v>26.5</v>
      </c>
      <c r="D42" s="206"/>
      <c r="E42" s="197"/>
      <c r="F42" s="33"/>
    </row>
    <row r="43" spans="1:6" ht="13.5" thickBot="1" x14ac:dyDescent="0.25">
      <c r="B43" s="90"/>
      <c r="C43" s="90"/>
      <c r="D43" s="90"/>
      <c r="E43" s="90"/>
      <c r="F43" s="33"/>
    </row>
    <row r="44" spans="1:6" x14ac:dyDescent="0.2">
      <c r="A44" s="55" t="s">
        <v>66</v>
      </c>
      <c r="B44" s="188"/>
      <c r="C44" s="188"/>
      <c r="D44" s="189"/>
      <c r="E44" s="90"/>
      <c r="F44" s="33"/>
    </row>
    <row r="45" spans="1:6" ht="13.5" thickBot="1" x14ac:dyDescent="0.25">
      <c r="A45" s="41"/>
      <c r="B45" s="197"/>
      <c r="C45" s="197"/>
      <c r="D45" s="191"/>
      <c r="E45" s="90"/>
      <c r="F45" s="33"/>
    </row>
    <row r="46" spans="1:6" ht="25.5" x14ac:dyDescent="0.2">
      <c r="A46" s="57" t="s">
        <v>84</v>
      </c>
      <c r="B46" s="57" t="s">
        <v>67</v>
      </c>
      <c r="C46" s="36" t="s">
        <v>60</v>
      </c>
      <c r="D46" s="173" t="s">
        <v>61</v>
      </c>
      <c r="E46" s="212" t="s">
        <v>98</v>
      </c>
      <c r="F46" s="33"/>
    </row>
    <row r="47" spans="1:6" ht="13.5" thickBot="1" x14ac:dyDescent="0.25">
      <c r="A47" s="60" t="s">
        <v>85</v>
      </c>
      <c r="B47" s="58"/>
      <c r="C47" s="61" t="s">
        <v>72</v>
      </c>
      <c r="D47" s="60" t="s">
        <v>73</v>
      </c>
      <c r="E47" s="213" t="s">
        <v>99</v>
      </c>
      <c r="F47" s="33"/>
    </row>
    <row r="48" spans="1:6" x14ac:dyDescent="0.2">
      <c r="A48" s="84">
        <v>1</v>
      </c>
      <c r="B48" s="62" t="str">
        <f t="shared" ref="B48:B55" si="1">A35</f>
        <v>Forward</v>
      </c>
      <c r="C48" s="85">
        <v>0</v>
      </c>
      <c r="D48" s="207">
        <f t="shared" ref="D48:D55" si="2">C35*C48</f>
        <v>0</v>
      </c>
      <c r="E48" s="91"/>
      <c r="F48" s="94" t="str">
        <f t="shared" ref="F48:F56" si="3">IF(ABS(C48)&gt;5000,"Error: Weight adjustment too high","")</f>
        <v/>
      </c>
    </row>
    <row r="49" spans="1:6" x14ac:dyDescent="0.2">
      <c r="A49" s="85">
        <v>0</v>
      </c>
      <c r="B49" s="62" t="str">
        <f t="shared" si="1"/>
        <v>Nose Weights</v>
      </c>
      <c r="C49" s="85">
        <v>0</v>
      </c>
      <c r="D49" s="207">
        <f t="shared" si="2"/>
        <v>0</v>
      </c>
      <c r="E49" s="92"/>
      <c r="F49" s="94" t="str">
        <f t="shared" si="3"/>
        <v/>
      </c>
    </row>
    <row r="50" spans="1:6" x14ac:dyDescent="0.2">
      <c r="A50" s="85">
        <v>1</v>
      </c>
      <c r="B50" s="62" t="str">
        <f t="shared" si="1"/>
        <v>Sci fwd plates</v>
      </c>
      <c r="C50" s="85">
        <v>0</v>
      </c>
      <c r="D50" s="207">
        <f t="shared" si="2"/>
        <v>0</v>
      </c>
      <c r="E50" s="92"/>
      <c r="F50" s="94" t="str">
        <f t="shared" si="3"/>
        <v/>
      </c>
    </row>
    <row r="51" spans="1:6" x14ac:dyDescent="0.2">
      <c r="A51" s="85">
        <v>0</v>
      </c>
      <c r="B51" s="62" t="str">
        <f t="shared" si="1"/>
        <v>Sci fwd disc(unused)</v>
      </c>
      <c r="C51" s="85">
        <v>0</v>
      </c>
      <c r="D51" s="207">
        <f t="shared" si="2"/>
        <v>0</v>
      </c>
      <c r="E51" s="92"/>
      <c r="F51" s="94" t="str">
        <f t="shared" si="3"/>
        <v/>
      </c>
    </row>
    <row r="52" spans="1:6" x14ac:dyDescent="0.2">
      <c r="A52" s="85">
        <v>1</v>
      </c>
      <c r="B52" s="62" t="str">
        <f t="shared" si="1"/>
        <v>Center</v>
      </c>
      <c r="C52" s="85">
        <v>0</v>
      </c>
      <c r="D52" s="207">
        <f t="shared" si="2"/>
        <v>0</v>
      </c>
      <c r="E52" s="92"/>
      <c r="F52" s="94" t="str">
        <f t="shared" si="3"/>
        <v/>
      </c>
    </row>
    <row r="53" spans="1:6" x14ac:dyDescent="0.2">
      <c r="A53" s="85">
        <v>0</v>
      </c>
      <c r="B53" s="62" t="str">
        <f t="shared" si="1"/>
        <v>Sci aft disc(unused)</v>
      </c>
      <c r="C53" s="85">
        <v>0</v>
      </c>
      <c r="D53" s="207">
        <f t="shared" si="2"/>
        <v>0</v>
      </c>
      <c r="E53" s="92"/>
      <c r="F53" s="94" t="str">
        <f t="shared" si="3"/>
        <v/>
      </c>
    </row>
    <row r="54" spans="1:6" x14ac:dyDescent="0.2">
      <c r="A54" s="85">
        <v>1</v>
      </c>
      <c r="B54" s="62" t="str">
        <f t="shared" si="1"/>
        <v>Sci aft plates</v>
      </c>
      <c r="C54" s="85">
        <v>0</v>
      </c>
      <c r="D54" s="207">
        <f t="shared" si="2"/>
        <v>0</v>
      </c>
      <c r="E54" s="92"/>
      <c r="F54" s="94" t="str">
        <f t="shared" si="3"/>
        <v/>
      </c>
    </row>
    <row r="55" spans="1:6" ht="13.5" thickBot="1" x14ac:dyDescent="0.25">
      <c r="A55" s="86">
        <v>1</v>
      </c>
      <c r="B55" s="58" t="str">
        <f t="shared" si="1"/>
        <v>Aft</v>
      </c>
      <c r="C55" s="86">
        <v>0</v>
      </c>
      <c r="D55" s="208">
        <f t="shared" si="2"/>
        <v>0</v>
      </c>
      <c r="E55" s="93"/>
      <c r="F55" s="94" t="str">
        <f t="shared" si="3"/>
        <v/>
      </c>
    </row>
    <row r="56" spans="1:6" ht="13.5" thickBot="1" x14ac:dyDescent="0.25">
      <c r="A56" s="201"/>
      <c r="B56" s="209"/>
      <c r="C56" s="186">
        <f>SUM(C48:C55)</f>
        <v>0</v>
      </c>
      <c r="D56" s="210">
        <f>SUM(D48:D55)</f>
        <v>0</v>
      </c>
      <c r="E56" s="90"/>
      <c r="F56" s="94" t="str">
        <f t="shared" si="3"/>
        <v/>
      </c>
    </row>
    <row r="57" spans="1:6" ht="13.5" thickBot="1" x14ac:dyDescent="0.25">
      <c r="A57" s="90"/>
      <c r="B57" s="90"/>
      <c r="C57" s="90"/>
      <c r="D57" s="90"/>
      <c r="E57" s="90"/>
      <c r="F57" s="33"/>
    </row>
    <row r="58" spans="1:6" x14ac:dyDescent="0.2">
      <c r="A58" s="55" t="s">
        <v>68</v>
      </c>
      <c r="B58" s="36"/>
      <c r="C58" s="36"/>
      <c r="D58" s="37"/>
      <c r="E58" s="29"/>
      <c r="F58" s="63"/>
    </row>
    <row r="59" spans="1:6" x14ac:dyDescent="0.2">
      <c r="A59" s="41"/>
      <c r="B59" s="64">
        <f>ABS((C18+C19-C20)+C56)</f>
        <v>0</v>
      </c>
      <c r="C59" s="31" t="str">
        <f>IF(((C18+C19-C20)+C56)&gt;=0,"additional grams need to be removed", "additional grams need to be added")</f>
        <v>additional grams need to be removed</v>
      </c>
      <c r="D59" s="40"/>
      <c r="E59" s="29"/>
      <c r="F59" s="54"/>
    </row>
    <row r="60" spans="1:6" x14ac:dyDescent="0.2">
      <c r="A60" s="41"/>
      <c r="B60" s="46">
        <f>ABS((C28+D56)/(B71-B70))</f>
        <v>0</v>
      </c>
      <c r="C60" s="46" t="str">
        <f>CONCATENATE("Grams need to move from ",IF((C28+D56)&lt;=0,INDEX(A35:A42,B67,1),INDEX(A35:A42,B68,1))," to ",IF((C28+D56)&lt;=0,INDEX(A35:A42,B68,1),INDEX(A35:A42,B67,1)))</f>
        <v>Grams need to move from Forward to Aft</v>
      </c>
      <c r="D60" s="40"/>
      <c r="E60" s="29"/>
      <c r="F60" s="54"/>
    </row>
    <row r="61" spans="1:6" x14ac:dyDescent="0.2">
      <c r="A61" s="41"/>
      <c r="B61" s="46">
        <f>INDEX(C48:C55,IF(A48,1,IF(A49,2,IF(A50,3,IF(A51,4,IF(A52,5,IF(A53,6,IF(A54,7,"Error"))))))))+(C28+D56)/(INDEX(C35:C42,IF(A55,8,IF(A54,7,IF(A53,6,IF(A52,5,IF(A51,4,IF(A50,3,IF(A49,2,"error"))))))))-INDEX(C35:C42,IF(A48,1,IF(A49,2,IF(A50,3,IF(A51,4,IF(A52,5,IF(A53,6,IF(A54,7,"Error")))))))))</f>
        <v>0</v>
      </c>
      <c r="C61" s="66" t="str">
        <f>CONCATENATE("Change ",INDEX(A35:A42,B67,1)," to this:")</f>
        <v>Change Forward to this:</v>
      </c>
      <c r="D61" s="40"/>
      <c r="E61" s="29"/>
      <c r="F61" s="54" t="s">
        <v>93</v>
      </c>
    </row>
    <row r="62" spans="1:6" ht="13.5" thickBot="1" x14ac:dyDescent="0.25">
      <c r="A62" s="51"/>
      <c r="B62" s="67">
        <f>INDEX(C48:C55,IF(A55,8,IF(A54,7,IF(A53,6,IF(A52,5,IF(A51,4,IF(A50,3,IF(A49,2,"error"))))))))-((C28+D56)/(INDEX(C35:C42,IF(A55,8,IF(A54,7,IF(A53,6,IF(A52,5,IF(A51,4,IF(A50,3,IF(A49,2,"error"))))))))-INDEX(C35:C42,IF(A48,1,IF(A49,2,IF(A50,3,IF(A51,4,IF(A52,5,IF(A53,6,IF(A54,7,"Error"))))))))))</f>
        <v>0</v>
      </c>
      <c r="C62" s="68" t="str">
        <f>CONCATENATE("Change ",INDEX(A35:A42,B68,1)," to this:")</f>
        <v>Change Aft to this:</v>
      </c>
      <c r="D62" s="59"/>
      <c r="E62" s="29"/>
      <c r="F62" s="54" t="s">
        <v>94</v>
      </c>
    </row>
    <row r="63" spans="1:6" x14ac:dyDescent="0.2">
      <c r="A63" s="29"/>
      <c r="B63" s="46"/>
      <c r="C63" s="66"/>
      <c r="D63" s="29"/>
      <c r="E63" s="29"/>
      <c r="F63" s="29"/>
    </row>
    <row r="64" spans="1:6" x14ac:dyDescent="0.2">
      <c r="A64" s="29"/>
      <c r="B64" s="46"/>
      <c r="C64" s="66"/>
      <c r="D64" s="321"/>
      <c r="E64" s="29"/>
      <c r="F64" s="29"/>
    </row>
    <row r="65" spans="1:15" s="4" customFormat="1" x14ac:dyDescent="0.2">
      <c r="A65" s="1"/>
      <c r="B65" s="1"/>
      <c r="C65" s="1"/>
      <c r="D65" s="1"/>
      <c r="E65" s="1"/>
      <c r="F65" s="1"/>
    </row>
    <row r="66" spans="1:15" s="4" customFormat="1" hidden="1" x14ac:dyDescent="0.2">
      <c r="A66" s="5" t="s">
        <v>71</v>
      </c>
      <c r="B66" s="6"/>
      <c r="C66" s="6"/>
      <c r="D66" s="7"/>
    </row>
    <row r="67" spans="1:15" s="4" customFormat="1" hidden="1" x14ac:dyDescent="0.2">
      <c r="A67" s="11"/>
      <c r="B67" s="12">
        <f>IF(A48,1,IF(A49,2,IF(A50,3,IF(A51,4,IF(A52,5,IF(A53,6,IF(A54,7,"Error")))))))</f>
        <v>1</v>
      </c>
      <c r="C67" s="12" t="s">
        <v>62</v>
      </c>
      <c r="D67" s="13"/>
    </row>
    <row r="68" spans="1:15" s="4" customFormat="1" hidden="1" x14ac:dyDescent="0.2">
      <c r="A68" s="11"/>
      <c r="B68" s="12">
        <f>IF(A55,8,IF(A54,7,IF(A53,6,IF(A52,5,IF(A51,4,IF(A50,3,IF(A49,2,"error")))))))</f>
        <v>8</v>
      </c>
      <c r="C68" s="12" t="s">
        <v>63</v>
      </c>
      <c r="D68" s="13"/>
    </row>
    <row r="69" spans="1:15" s="4" customFormat="1" hidden="1" x14ac:dyDescent="0.2">
      <c r="A69" s="14"/>
      <c r="B69" s="12"/>
      <c r="C69" s="12"/>
      <c r="D69" s="15"/>
      <c r="E69" s="16"/>
      <c r="F69" s="16"/>
    </row>
    <row r="70" spans="1:15" s="4" customFormat="1" hidden="1" x14ac:dyDescent="0.2">
      <c r="A70" s="11"/>
      <c r="B70" s="12">
        <f>INDEX(C35:C42,IF(A48,1,IF(A49,2,IF(A50,3,IF(A51,4,IF(A52,5,IF(A53,6,IF(A54,7,"Error"))))))))</f>
        <v>-21</v>
      </c>
      <c r="C70" s="12" t="s">
        <v>64</v>
      </c>
      <c r="D70" s="18"/>
      <c r="E70" s="19"/>
      <c r="F70" s="19"/>
    </row>
    <row r="71" spans="1:15" s="4" customFormat="1" ht="13.5" hidden="1" thickBot="1" x14ac:dyDescent="0.25">
      <c r="A71" s="21"/>
      <c r="B71" s="22">
        <f>INDEX(C35:C42,IF(A55,8,IF(A54,7,IF(A53,6,IF(A52,5,IF(A51,4,IF(A50,3,IF(A49,2,"error"))))))))</f>
        <v>26.5</v>
      </c>
      <c r="C71" s="22" t="s">
        <v>65</v>
      </c>
      <c r="D71" s="23"/>
      <c r="E71" s="19"/>
      <c r="F71" s="19"/>
    </row>
    <row r="72" spans="1:15" x14ac:dyDescent="0.2">
      <c r="A72" s="28"/>
      <c r="B72" s="28"/>
      <c r="C72" s="28"/>
      <c r="D72" s="28"/>
      <c r="E72" s="28"/>
      <c r="F72" s="28"/>
    </row>
    <row r="73" spans="1:15" s="28" customFormat="1" x14ac:dyDescent="0.2">
      <c r="A73" s="33" t="s">
        <v>91</v>
      </c>
      <c r="F73" s="69"/>
    </row>
    <row r="74" spans="1:15" s="74" customFormat="1" ht="30.75" customHeight="1" x14ac:dyDescent="0.2">
      <c r="A74" s="398" t="s">
        <v>92</v>
      </c>
      <c r="B74" s="395"/>
      <c r="C74" s="395"/>
      <c r="D74" s="395"/>
      <c r="E74" s="72"/>
      <c r="F74" s="73"/>
    </row>
    <row r="75" spans="1:15" s="237" customFormat="1" ht="73.5" customHeight="1" x14ac:dyDescent="0.2">
      <c r="A75" s="394" t="s">
        <v>192</v>
      </c>
      <c r="B75" s="395"/>
      <c r="C75" s="395"/>
      <c r="D75" s="395"/>
      <c r="F75" s="236"/>
    </row>
    <row r="76" spans="1:15" s="237" customFormat="1" ht="78" customHeight="1" x14ac:dyDescent="0.2">
      <c r="A76" s="394" t="s">
        <v>193</v>
      </c>
      <c r="B76" s="395"/>
      <c r="C76" s="395"/>
      <c r="D76" s="395"/>
      <c r="F76" s="236"/>
      <c r="H76" s="75"/>
      <c r="I76" s="75"/>
      <c r="J76" s="75"/>
      <c r="K76" s="75"/>
      <c r="L76" s="75"/>
      <c r="M76" s="75"/>
      <c r="N76" s="75"/>
      <c r="O76" s="75"/>
    </row>
    <row r="77" spans="1:15" s="237" customFormat="1" ht="78.75" customHeight="1" x14ac:dyDescent="0.2">
      <c r="A77" s="394" t="s">
        <v>194</v>
      </c>
      <c r="B77" s="395"/>
      <c r="C77" s="395"/>
      <c r="D77" s="395"/>
      <c r="F77" s="236"/>
      <c r="H77" s="75"/>
      <c r="I77" s="75"/>
      <c r="J77" s="75"/>
      <c r="K77" s="75"/>
      <c r="L77" s="75"/>
      <c r="M77" s="75"/>
      <c r="N77" s="75"/>
      <c r="O77" s="75"/>
    </row>
    <row r="78" spans="1:15" s="237" customFormat="1" ht="126" customHeight="1" x14ac:dyDescent="0.2">
      <c r="A78" s="394" t="s">
        <v>195</v>
      </c>
      <c r="B78" s="395"/>
      <c r="C78" s="395"/>
      <c r="D78" s="395"/>
      <c r="F78" s="236"/>
      <c r="H78" s="75"/>
      <c r="I78" s="75"/>
      <c r="J78" s="75"/>
      <c r="K78" s="75"/>
      <c r="L78" s="75"/>
      <c r="M78" s="75"/>
      <c r="N78" s="75"/>
      <c r="O78" s="75"/>
    </row>
    <row r="79" spans="1:15" s="237" customFormat="1" ht="60.75" customHeight="1" x14ac:dyDescent="0.2">
      <c r="A79" s="394" t="s">
        <v>196</v>
      </c>
      <c r="B79" s="395"/>
      <c r="C79" s="395"/>
      <c r="D79" s="395"/>
      <c r="E79" s="75"/>
      <c r="F79" s="236"/>
      <c r="H79" s="75"/>
      <c r="I79" s="75"/>
      <c r="J79" s="75"/>
      <c r="K79" s="75"/>
      <c r="L79" s="75"/>
      <c r="M79" s="75"/>
      <c r="N79" s="75"/>
      <c r="O79" s="75"/>
    </row>
    <row r="80" spans="1:15" ht="34.5" customHeight="1" x14ac:dyDescent="0.2">
      <c r="A80" s="396" t="s">
        <v>95</v>
      </c>
      <c r="B80" s="397"/>
      <c r="C80" s="397"/>
      <c r="D80" s="397"/>
      <c r="E80" s="29"/>
      <c r="F80" s="54"/>
      <c r="G80" s="29"/>
      <c r="H80" s="29"/>
      <c r="I80" s="29"/>
      <c r="J80" s="29"/>
      <c r="K80" s="29"/>
      <c r="L80" s="29"/>
      <c r="M80" s="29"/>
      <c r="N80" s="29"/>
      <c r="O80" s="29"/>
    </row>
    <row r="81" spans="1:15" x14ac:dyDescent="0.2">
      <c r="A81" s="29"/>
      <c r="B81" s="29"/>
      <c r="C81" s="76"/>
      <c r="D81" s="46"/>
      <c r="E81" s="29"/>
      <c r="F81" s="54"/>
      <c r="G81" s="29"/>
      <c r="H81" s="29"/>
      <c r="I81" s="29"/>
      <c r="J81" s="29"/>
      <c r="K81" s="29"/>
      <c r="L81" s="29"/>
      <c r="M81" s="29"/>
      <c r="N81" s="29"/>
      <c r="O81" s="29"/>
    </row>
    <row r="82" spans="1:15" x14ac:dyDescent="0.2">
      <c r="A82" s="29" t="s">
        <v>100</v>
      </c>
      <c r="B82" s="29"/>
      <c r="C82" s="76"/>
      <c r="D82" s="46"/>
      <c r="E82" s="29"/>
      <c r="F82" s="54"/>
      <c r="G82" s="29"/>
      <c r="H82" s="29"/>
      <c r="I82" s="29"/>
      <c r="J82" s="29"/>
      <c r="K82" s="29"/>
      <c r="L82" s="29"/>
      <c r="M82" s="29"/>
      <c r="N82" s="29"/>
      <c r="O82" s="29"/>
    </row>
  </sheetData>
  <sheetProtection password="DA1B" sheet="1" objects="1" scenarios="1"/>
  <mergeCells count="8">
    <mergeCell ref="A15:D15"/>
    <mergeCell ref="A80:D80"/>
    <mergeCell ref="A74:D74"/>
    <mergeCell ref="A75:D75"/>
    <mergeCell ref="A76:D76"/>
    <mergeCell ref="A77:D77"/>
    <mergeCell ref="A78:D78"/>
    <mergeCell ref="A79:D79"/>
  </mergeCells>
  <pageMargins left="0.75" right="0.75" top="1" bottom="1" header="0.5" footer="0.5"/>
  <pageSetup scale="7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zoomScaleNormal="100" zoomScaleSheetLayoutView="115" workbookViewId="0"/>
  </sheetViews>
  <sheetFormatPr defaultColWidth="9.140625" defaultRowHeight="12.75" x14ac:dyDescent="0.2"/>
  <cols>
    <col min="1" max="1" width="31.140625" style="25" customWidth="1"/>
    <col min="2" max="2" width="17.85546875" style="25" customWidth="1"/>
    <col min="3" max="3" width="23.28515625" style="25" customWidth="1"/>
    <col min="4" max="4" width="14.140625" style="25" customWidth="1"/>
    <col min="5" max="5" width="13.7109375" style="25" bestFit="1" customWidth="1"/>
    <col min="6" max="6" width="86.7109375" style="25" bestFit="1" customWidth="1"/>
    <col min="7" max="16384" width="9.140625" style="25"/>
  </cols>
  <sheetData>
    <row r="1" spans="1:6" customFormat="1" ht="20.25" customHeight="1" x14ac:dyDescent="0.2">
      <c r="A1" s="25"/>
      <c r="B1" s="25"/>
      <c r="C1" s="90"/>
      <c r="D1" s="177" t="s">
        <v>167</v>
      </c>
      <c r="E1" s="178" t="str">
        <f>Ballast!$H$1</f>
        <v>4095-GBPSH</v>
      </c>
    </row>
    <row r="2" spans="1:6" customFormat="1" ht="20.25" customHeight="1" x14ac:dyDescent="0.2">
      <c r="A2" s="25"/>
      <c r="B2" s="25"/>
      <c r="C2" s="90"/>
      <c r="D2" s="179" t="s">
        <v>168</v>
      </c>
      <c r="E2" s="180" t="str">
        <f>Ballast!$H$2</f>
        <v>F</v>
      </c>
    </row>
    <row r="3" spans="1:6" customFormat="1" ht="20.25" customHeight="1" x14ac:dyDescent="0.2">
      <c r="A3" s="25"/>
      <c r="B3" s="25"/>
      <c r="C3" s="90"/>
      <c r="D3" s="179" t="s">
        <v>1</v>
      </c>
      <c r="E3" s="181">
        <f>Ballast!$H$3</f>
        <v>41813</v>
      </c>
    </row>
    <row r="4" spans="1:6" customFormat="1" ht="20.25" customHeight="1" thickBot="1" x14ac:dyDescent="0.25">
      <c r="A4" s="25"/>
      <c r="B4" s="25"/>
      <c r="C4" s="90"/>
      <c r="D4" s="182" t="s">
        <v>169</v>
      </c>
      <c r="E4" s="183">
        <f>Ballast!$H$4</f>
        <v>12698</v>
      </c>
    </row>
    <row r="5" spans="1:6" customFormat="1" ht="15" customHeight="1" thickBot="1" x14ac:dyDescent="0.25">
      <c r="A5" s="25"/>
      <c r="B5" s="25"/>
      <c r="C5" s="90"/>
      <c r="D5" s="90"/>
      <c r="E5" s="90"/>
    </row>
    <row r="6" spans="1:6" customFormat="1" ht="15" customHeight="1" thickTop="1" thickBot="1" x14ac:dyDescent="0.25">
      <c r="A6" s="217"/>
      <c r="B6" s="217"/>
      <c r="C6" s="187"/>
      <c r="D6" s="187"/>
      <c r="E6" s="187"/>
    </row>
    <row r="7" spans="1:6" x14ac:dyDescent="0.2">
      <c r="A7" s="174" t="s">
        <v>38</v>
      </c>
      <c r="B7" s="247" t="str">
        <f>IF(ISBLANK(Ballast!C13),"",Ballast!C13)</f>
        <v/>
      </c>
      <c r="C7" s="90"/>
      <c r="D7" s="90"/>
      <c r="E7" s="90"/>
      <c r="F7" s="33"/>
    </row>
    <row r="8" spans="1:6" ht="13.5" thickBot="1" x14ac:dyDescent="0.25">
      <c r="A8" s="175" t="s">
        <v>1</v>
      </c>
      <c r="B8" s="248" t="str">
        <f>IF(ISBLANK(Ballast!C15),"",Ballast!C15)</f>
        <v/>
      </c>
      <c r="C8" s="90"/>
      <c r="D8" s="90"/>
      <c r="E8" s="90"/>
      <c r="F8" s="33"/>
    </row>
    <row r="9" spans="1:6" x14ac:dyDescent="0.2">
      <c r="A9" s="34"/>
      <c r="C9" s="90"/>
      <c r="D9" s="90"/>
      <c r="E9" s="90"/>
      <c r="F9" s="33"/>
    </row>
    <row r="10" spans="1:6" x14ac:dyDescent="0.2">
      <c r="A10" s="34"/>
      <c r="C10" s="90"/>
      <c r="D10" s="90"/>
      <c r="E10" s="90"/>
      <c r="F10" s="33"/>
    </row>
    <row r="11" spans="1:6" x14ac:dyDescent="0.2">
      <c r="A11" s="34"/>
      <c r="C11" s="90"/>
      <c r="D11" s="90"/>
      <c r="E11" s="90"/>
      <c r="F11" s="33"/>
    </row>
    <row r="12" spans="1:6" x14ac:dyDescent="0.2">
      <c r="A12" s="34"/>
      <c r="C12" s="90"/>
      <c r="D12" s="90"/>
      <c r="E12" s="90"/>
      <c r="F12" s="33"/>
    </row>
    <row r="13" spans="1:6" x14ac:dyDescent="0.2">
      <c r="A13" s="34"/>
      <c r="C13" s="90"/>
      <c r="D13" s="90"/>
      <c r="E13" s="90"/>
      <c r="F13" s="33"/>
    </row>
    <row r="14" spans="1:6" x14ac:dyDescent="0.2">
      <c r="A14" s="34"/>
      <c r="C14" s="90"/>
      <c r="D14" s="90"/>
      <c r="E14" s="90"/>
      <c r="F14" s="33"/>
    </row>
    <row r="15" spans="1:6" x14ac:dyDescent="0.2">
      <c r="A15" s="393" t="s">
        <v>186</v>
      </c>
      <c r="B15" s="393"/>
      <c r="C15" s="393"/>
      <c r="D15" s="393"/>
      <c r="E15" s="90"/>
      <c r="F15" s="33"/>
    </row>
    <row r="16" spans="1:6" ht="13.5" thickBot="1" x14ac:dyDescent="0.25">
      <c r="A16" s="240"/>
      <c r="B16" s="240"/>
      <c r="C16" s="240"/>
      <c r="D16" s="240"/>
      <c r="E16" s="90"/>
      <c r="F16" s="33"/>
    </row>
    <row r="17" spans="1:6" x14ac:dyDescent="0.2">
      <c r="A17" s="35" t="s">
        <v>69</v>
      </c>
      <c r="B17" s="36"/>
      <c r="C17" s="188"/>
      <c r="D17" s="189"/>
      <c r="E17" s="90"/>
      <c r="F17" s="33"/>
    </row>
    <row r="18" spans="1:6" x14ac:dyDescent="0.2">
      <c r="A18" s="38"/>
      <c r="B18" s="39" t="s">
        <v>48</v>
      </c>
      <c r="C18" s="77">
        <v>0</v>
      </c>
      <c r="D18" s="40" t="s">
        <v>10</v>
      </c>
      <c r="E18" s="192" t="str">
        <f>IF(C18&gt;5000,"Error: scale reading too high",IF(C18&lt;0,"Error: scale reading should be positive",""))</f>
        <v/>
      </c>
      <c r="F18" s="33"/>
    </row>
    <row r="19" spans="1:6" x14ac:dyDescent="0.2">
      <c r="A19" s="41"/>
      <c r="B19" s="42" t="s">
        <v>49</v>
      </c>
      <c r="C19" s="77">
        <v>0</v>
      </c>
      <c r="D19" s="40" t="s">
        <v>10</v>
      </c>
      <c r="E19" s="192" t="str">
        <f>IF(C19&gt;5000,"Error: scale reading too high",IF(C19&lt;0,"Error: scale reading should be positive",""))</f>
        <v/>
      </c>
      <c r="F19" s="33"/>
    </row>
    <row r="20" spans="1:6" x14ac:dyDescent="0.2">
      <c r="A20" s="41"/>
      <c r="B20" s="42" t="s">
        <v>50</v>
      </c>
      <c r="C20" s="194">
        <f>Ballast!G39</f>
        <v>0</v>
      </c>
      <c r="D20" s="40" t="s">
        <v>10</v>
      </c>
      <c r="E20" s="90"/>
      <c r="F20" s="33"/>
    </row>
    <row r="21" spans="1:6" x14ac:dyDescent="0.2">
      <c r="A21" s="43"/>
      <c r="B21" s="44" t="str">
        <f>IF((C18+C19-C20)&gt;0,"Total weight to remove:","Total weight to add:")</f>
        <v>Total weight to add:</v>
      </c>
      <c r="C21" s="196">
        <f>ABS(C18+C19-C20)</f>
        <v>0</v>
      </c>
      <c r="D21" s="45" t="s">
        <v>10</v>
      </c>
      <c r="E21" s="90"/>
      <c r="F21" s="33"/>
    </row>
    <row r="22" spans="1:6" x14ac:dyDescent="0.2">
      <c r="A22" s="193"/>
      <c r="B22" s="197"/>
      <c r="C22" s="198"/>
      <c r="D22" s="40"/>
      <c r="E22" s="90"/>
      <c r="F22" s="33"/>
    </row>
    <row r="23" spans="1:6" x14ac:dyDescent="0.2">
      <c r="A23" s="193"/>
      <c r="B23" s="47" t="s">
        <v>47</v>
      </c>
      <c r="C23" s="48" t="s">
        <v>51</v>
      </c>
      <c r="D23" s="40"/>
      <c r="E23" s="90"/>
      <c r="F23" s="33"/>
    </row>
    <row r="24" spans="1:6" x14ac:dyDescent="0.2">
      <c r="A24" s="193"/>
      <c r="B24" s="49" t="s">
        <v>75</v>
      </c>
      <c r="C24" s="49" t="s">
        <v>75</v>
      </c>
      <c r="D24" s="40"/>
      <c r="E24" s="90"/>
      <c r="F24" s="33"/>
    </row>
    <row r="25" spans="1:6" x14ac:dyDescent="0.2">
      <c r="A25" s="50" t="s">
        <v>42</v>
      </c>
      <c r="B25" s="227">
        <v>1</v>
      </c>
      <c r="C25" s="199">
        <f>B25-$C$31</f>
        <v>-24</v>
      </c>
      <c r="D25" s="40"/>
      <c r="E25" s="90" t="str">
        <f>IF(B25&lt;-10,"Error: Check scale position",IF(B25&gt;30, "Error, check scale position",""))</f>
        <v/>
      </c>
      <c r="F25" s="33"/>
    </row>
    <row r="26" spans="1:6" x14ac:dyDescent="0.2">
      <c r="A26" s="50" t="s">
        <v>43</v>
      </c>
      <c r="B26" s="227">
        <v>54.75</v>
      </c>
      <c r="C26" s="199">
        <f>B26-$C$31</f>
        <v>29.75</v>
      </c>
      <c r="D26" s="40"/>
      <c r="E26" s="90" t="str">
        <f>IF(B26&lt;20,"Error: Check scale position",IF(B26&gt;70, "Error, check scale position",""))</f>
        <v/>
      </c>
      <c r="F26" s="33"/>
    </row>
    <row r="27" spans="1:6" x14ac:dyDescent="0.2">
      <c r="A27" s="41"/>
      <c r="B27" s="28"/>
      <c r="C27" s="197"/>
      <c r="D27" s="40"/>
      <c r="E27" s="90"/>
      <c r="F27" s="33"/>
    </row>
    <row r="28" spans="1:6" ht="13.5" thickBot="1" x14ac:dyDescent="0.25">
      <c r="A28" s="51"/>
      <c r="B28" s="52" t="s">
        <v>83</v>
      </c>
      <c r="C28" s="186">
        <f>(C18*C25)+(C19*C26)</f>
        <v>0</v>
      </c>
      <c r="D28" s="53" t="s">
        <v>39</v>
      </c>
      <c r="E28" s="90"/>
      <c r="F28" s="33"/>
    </row>
    <row r="29" spans="1:6" ht="13.5" thickBot="1" x14ac:dyDescent="0.25">
      <c r="A29" s="197"/>
      <c r="B29" s="202"/>
      <c r="C29" s="197"/>
      <c r="D29" s="197"/>
      <c r="E29" s="197"/>
      <c r="F29" s="54" t="s">
        <v>90</v>
      </c>
    </row>
    <row r="30" spans="1:6" x14ac:dyDescent="0.2">
      <c r="A30" s="55" t="s">
        <v>45</v>
      </c>
      <c r="B30" s="188"/>
      <c r="C30" s="188"/>
      <c r="D30" s="189"/>
      <c r="E30" s="197"/>
      <c r="F30" s="33" t="s">
        <v>70</v>
      </c>
    </row>
    <row r="31" spans="1:6" x14ac:dyDescent="0.2">
      <c r="A31" s="41"/>
      <c r="B31" s="56" t="s">
        <v>44</v>
      </c>
      <c r="C31" s="79">
        <v>25</v>
      </c>
      <c r="D31" s="203"/>
      <c r="E31" s="197"/>
      <c r="F31" s="33" t="s">
        <v>46</v>
      </c>
    </row>
    <row r="32" spans="1:6" ht="13.5" thickBot="1" x14ac:dyDescent="0.25">
      <c r="A32" s="41"/>
      <c r="B32" s="197"/>
      <c r="C32" s="197"/>
      <c r="D32" s="191"/>
      <c r="E32" s="197"/>
      <c r="F32" s="33" t="s">
        <v>77</v>
      </c>
    </row>
    <row r="33" spans="1:6" x14ac:dyDescent="0.2">
      <c r="A33" s="57" t="s">
        <v>53</v>
      </c>
      <c r="B33" s="57" t="s">
        <v>74</v>
      </c>
      <c r="C33" s="57" t="s">
        <v>76</v>
      </c>
      <c r="D33" s="191"/>
      <c r="E33" s="197"/>
      <c r="F33" s="33" t="s">
        <v>96</v>
      </c>
    </row>
    <row r="34" spans="1:6" ht="13.5" thickBot="1" x14ac:dyDescent="0.25">
      <c r="A34" s="58"/>
      <c r="B34" s="58" t="s">
        <v>75</v>
      </c>
      <c r="C34" s="58" t="s">
        <v>75</v>
      </c>
      <c r="D34" s="191"/>
      <c r="E34" s="197"/>
      <c r="F34" s="33" t="s">
        <v>97</v>
      </c>
    </row>
    <row r="35" spans="1:6" x14ac:dyDescent="0.2">
      <c r="A35" s="214" t="s">
        <v>87</v>
      </c>
      <c r="B35" s="80">
        <v>2</v>
      </c>
      <c r="C35" s="204">
        <f t="shared" ref="C35:C42" si="0">B35-C$31</f>
        <v>-23</v>
      </c>
      <c r="D35" s="191"/>
      <c r="E35" s="197"/>
      <c r="F35" s="33"/>
    </row>
    <row r="36" spans="1:6" x14ac:dyDescent="0.2">
      <c r="A36" s="225" t="s">
        <v>116</v>
      </c>
      <c r="B36" s="81">
        <v>2.125</v>
      </c>
      <c r="C36" s="199">
        <f t="shared" si="0"/>
        <v>-22.875</v>
      </c>
      <c r="D36" s="191"/>
      <c r="E36" s="197"/>
    </row>
    <row r="37" spans="1:6" x14ac:dyDescent="0.2">
      <c r="A37" s="225" t="s">
        <v>174</v>
      </c>
      <c r="B37" s="81">
        <v>19.5</v>
      </c>
      <c r="C37" s="199">
        <f t="shared" si="0"/>
        <v>-5.5</v>
      </c>
      <c r="D37" s="191"/>
      <c r="E37" s="197"/>
      <c r="F37" s="33"/>
    </row>
    <row r="38" spans="1:6" x14ac:dyDescent="0.2">
      <c r="A38" s="225" t="s">
        <v>114</v>
      </c>
      <c r="B38" s="228">
        <v>25.25</v>
      </c>
      <c r="C38" s="199">
        <f t="shared" si="0"/>
        <v>0.25</v>
      </c>
      <c r="D38" s="191"/>
      <c r="E38" s="197"/>
      <c r="F38" s="33"/>
    </row>
    <row r="39" spans="1:6" x14ac:dyDescent="0.2">
      <c r="A39" s="215" t="s">
        <v>52</v>
      </c>
      <c r="B39" s="81">
        <v>29.5</v>
      </c>
      <c r="C39" s="199">
        <f t="shared" si="0"/>
        <v>4.5</v>
      </c>
      <c r="D39" s="191"/>
      <c r="E39" s="197"/>
      <c r="F39" s="33"/>
    </row>
    <row r="40" spans="1:6" x14ac:dyDescent="0.2">
      <c r="A40" s="225" t="s">
        <v>176</v>
      </c>
      <c r="B40" s="82">
        <v>9999</v>
      </c>
      <c r="C40" s="199">
        <f t="shared" si="0"/>
        <v>9974</v>
      </c>
      <c r="D40" s="191"/>
      <c r="E40" s="197"/>
      <c r="F40" s="33"/>
    </row>
    <row r="41" spans="1:6" x14ac:dyDescent="0.2">
      <c r="A41" s="225" t="s">
        <v>115</v>
      </c>
      <c r="B41" s="81">
        <v>35.75</v>
      </c>
      <c r="C41" s="199">
        <f t="shared" si="0"/>
        <v>10.75</v>
      </c>
      <c r="D41" s="191"/>
      <c r="E41" s="197"/>
      <c r="F41" s="33"/>
    </row>
    <row r="42" spans="1:6" ht="13.5" thickBot="1" x14ac:dyDescent="0.25">
      <c r="A42" s="216" t="s">
        <v>40</v>
      </c>
      <c r="B42" s="83">
        <v>55.25</v>
      </c>
      <c r="C42" s="205">
        <f t="shared" si="0"/>
        <v>30.25</v>
      </c>
      <c r="D42" s="206"/>
      <c r="E42" s="197"/>
      <c r="F42" s="33"/>
    </row>
    <row r="43" spans="1:6" ht="13.5" thickBot="1" x14ac:dyDescent="0.25">
      <c r="B43" s="90"/>
      <c r="C43" s="90"/>
      <c r="D43" s="90"/>
      <c r="E43" s="90"/>
      <c r="F43" s="33"/>
    </row>
    <row r="44" spans="1:6" x14ac:dyDescent="0.2">
      <c r="A44" s="55" t="s">
        <v>66</v>
      </c>
      <c r="B44" s="188"/>
      <c r="C44" s="188"/>
      <c r="D44" s="189"/>
      <c r="E44" s="90"/>
      <c r="F44" s="33"/>
    </row>
    <row r="45" spans="1:6" ht="13.5" thickBot="1" x14ac:dyDescent="0.25">
      <c r="A45" s="41"/>
      <c r="B45" s="197"/>
      <c r="C45" s="197"/>
      <c r="D45" s="191"/>
      <c r="E45" s="90"/>
      <c r="F45" s="33"/>
    </row>
    <row r="46" spans="1:6" ht="25.5" x14ac:dyDescent="0.2">
      <c r="A46" s="57" t="s">
        <v>84</v>
      </c>
      <c r="B46" s="57" t="s">
        <v>67</v>
      </c>
      <c r="C46" s="36" t="s">
        <v>60</v>
      </c>
      <c r="D46" s="173" t="s">
        <v>61</v>
      </c>
      <c r="E46" s="212" t="s">
        <v>98</v>
      </c>
      <c r="F46" s="33"/>
    </row>
    <row r="47" spans="1:6" ht="13.5" thickBot="1" x14ac:dyDescent="0.25">
      <c r="A47" s="60" t="s">
        <v>85</v>
      </c>
      <c r="B47" s="58"/>
      <c r="C47" s="61" t="s">
        <v>72</v>
      </c>
      <c r="D47" s="60" t="s">
        <v>73</v>
      </c>
      <c r="E47" s="213" t="s">
        <v>99</v>
      </c>
      <c r="F47" s="33"/>
    </row>
    <row r="48" spans="1:6" x14ac:dyDescent="0.2">
      <c r="A48" s="84">
        <v>1</v>
      </c>
      <c r="B48" s="62" t="str">
        <f t="shared" ref="B48:B53" si="1">A35</f>
        <v>Forward</v>
      </c>
      <c r="C48" s="85">
        <v>0</v>
      </c>
      <c r="D48" s="207">
        <f t="shared" ref="D48:D53" si="2">C35*C48</f>
        <v>0</v>
      </c>
      <c r="E48" s="91"/>
      <c r="F48" s="94" t="str">
        <f t="shared" ref="F48:F56" si="3">IF(ABS(C48)&gt;5000,"Error: Weight adjustment too high","")</f>
        <v/>
      </c>
    </row>
    <row r="49" spans="1:6" x14ac:dyDescent="0.2">
      <c r="A49" s="85">
        <v>0</v>
      </c>
      <c r="B49" s="62" t="str">
        <f t="shared" si="1"/>
        <v>Nose Weights</v>
      </c>
      <c r="C49" s="85">
        <v>0</v>
      </c>
      <c r="D49" s="207">
        <f t="shared" si="2"/>
        <v>0</v>
      </c>
      <c r="E49" s="92"/>
      <c r="F49" s="94" t="str">
        <f t="shared" si="3"/>
        <v/>
      </c>
    </row>
    <row r="50" spans="1:6" x14ac:dyDescent="0.2">
      <c r="A50" s="85">
        <v>1</v>
      </c>
      <c r="B50" s="62" t="str">
        <f t="shared" si="1"/>
        <v>DVL fwd plates</v>
      </c>
      <c r="C50" s="85">
        <v>0</v>
      </c>
      <c r="D50" s="207">
        <f t="shared" si="2"/>
        <v>0</v>
      </c>
      <c r="E50" s="92"/>
      <c r="F50" s="94" t="str">
        <f t="shared" si="3"/>
        <v/>
      </c>
    </row>
    <row r="51" spans="1:6" x14ac:dyDescent="0.2">
      <c r="A51" s="85">
        <v>1</v>
      </c>
      <c r="B51" s="62" t="str">
        <f t="shared" si="1"/>
        <v>Sci fwd plates</v>
      </c>
      <c r="C51" s="85">
        <v>0</v>
      </c>
      <c r="D51" s="207">
        <f t="shared" si="2"/>
        <v>0</v>
      </c>
      <c r="E51" s="92"/>
      <c r="F51" s="94" t="str">
        <f t="shared" si="3"/>
        <v/>
      </c>
    </row>
    <row r="52" spans="1:6" x14ac:dyDescent="0.2">
      <c r="A52" s="85">
        <v>1</v>
      </c>
      <c r="B52" s="62" t="str">
        <f t="shared" si="1"/>
        <v>Center</v>
      </c>
      <c r="C52" s="85">
        <v>0</v>
      </c>
      <c r="D52" s="207">
        <f t="shared" si="2"/>
        <v>0</v>
      </c>
      <c r="E52" s="92"/>
      <c r="F52" s="94" t="str">
        <f t="shared" si="3"/>
        <v/>
      </c>
    </row>
    <row r="53" spans="1:6" x14ac:dyDescent="0.2">
      <c r="A53" s="85">
        <v>0</v>
      </c>
      <c r="B53" s="62" t="str">
        <f t="shared" si="1"/>
        <v>Sci aft disc(unused)</v>
      </c>
      <c r="C53" s="85">
        <v>0</v>
      </c>
      <c r="D53" s="207">
        <f t="shared" si="2"/>
        <v>0</v>
      </c>
      <c r="E53" s="92"/>
      <c r="F53" s="94" t="str">
        <f t="shared" si="3"/>
        <v/>
      </c>
    </row>
    <row r="54" spans="1:6" x14ac:dyDescent="0.2">
      <c r="A54" s="85">
        <v>1</v>
      </c>
      <c r="B54" s="62" t="str">
        <f t="shared" ref="B54:B55" si="4">A41</f>
        <v>Sci aft plates</v>
      </c>
      <c r="C54" s="85">
        <v>0</v>
      </c>
      <c r="D54" s="207">
        <f t="shared" ref="D54:D55" si="5">C41*C54</f>
        <v>0</v>
      </c>
      <c r="E54" s="92"/>
      <c r="F54" s="94" t="str">
        <f t="shared" si="3"/>
        <v/>
      </c>
    </row>
    <row r="55" spans="1:6" ht="13.5" thickBot="1" x14ac:dyDescent="0.25">
      <c r="A55" s="86">
        <v>1</v>
      </c>
      <c r="B55" s="58" t="str">
        <f t="shared" si="4"/>
        <v>Aft</v>
      </c>
      <c r="C55" s="86">
        <v>0</v>
      </c>
      <c r="D55" s="208">
        <f t="shared" si="5"/>
        <v>0</v>
      </c>
      <c r="E55" s="93"/>
      <c r="F55" s="94" t="str">
        <f t="shared" si="3"/>
        <v/>
      </c>
    </row>
    <row r="56" spans="1:6" ht="13.5" thickBot="1" x14ac:dyDescent="0.25">
      <c r="A56" s="201"/>
      <c r="B56" s="209"/>
      <c r="C56" s="186">
        <f>SUM(C48:C55)</f>
        <v>0</v>
      </c>
      <c r="D56" s="210">
        <f>SUM(D48:D55)</f>
        <v>0</v>
      </c>
      <c r="E56" s="90"/>
      <c r="F56" s="94" t="str">
        <f t="shared" si="3"/>
        <v/>
      </c>
    </row>
    <row r="57" spans="1:6" ht="13.5" thickBot="1" x14ac:dyDescent="0.25">
      <c r="A57" s="90"/>
      <c r="B57" s="90"/>
      <c r="C57" s="90"/>
      <c r="D57" s="90"/>
      <c r="E57" s="90"/>
      <c r="F57" s="33"/>
    </row>
    <row r="58" spans="1:6" x14ac:dyDescent="0.2">
      <c r="A58" s="55" t="s">
        <v>68</v>
      </c>
      <c r="B58" s="36"/>
      <c r="C58" s="36"/>
      <c r="D58" s="37"/>
      <c r="E58" s="29"/>
      <c r="F58" s="63"/>
    </row>
    <row r="59" spans="1:6" x14ac:dyDescent="0.2">
      <c r="A59" s="41"/>
      <c r="B59" s="64">
        <f>ABS((C18+C19-C20)+C56)</f>
        <v>0</v>
      </c>
      <c r="C59" s="31" t="str">
        <f>IF(((C18+C19-C20)+C56)&gt;=0,"additional grams need to be removed", "additional grams need to be added")</f>
        <v>additional grams need to be removed</v>
      </c>
      <c r="D59" s="40"/>
      <c r="E59" s="29"/>
      <c r="F59" s="54"/>
    </row>
    <row r="60" spans="1:6" x14ac:dyDescent="0.2">
      <c r="A60" s="41"/>
      <c r="B60" s="46">
        <f>ABS((C28+D56)/(B71-B70))</f>
        <v>0</v>
      </c>
      <c r="C60" s="46" t="str">
        <f>CONCATENATE("Grams need to move from ",IF((C28+D56)&lt;=0,INDEX(A35:A42,B67,1),INDEX(A35:A42,B68,1))," to ",IF((C28+D56)&lt;=0,INDEX(A35:A42,B68,1),INDEX(A35:A42,B67,1)))</f>
        <v>Grams need to move from Forward to Aft</v>
      </c>
      <c r="D60" s="40"/>
      <c r="E60" s="29"/>
      <c r="F60" s="54"/>
    </row>
    <row r="61" spans="1:6" x14ac:dyDescent="0.2">
      <c r="A61" s="41"/>
      <c r="B61" s="46">
        <f>INDEX(C48:C55,IF(A48,1,IF(A49,2,IF(A50,3,IF(A51,4,IF(A52,5,IF(A53,6,IF(A54,7,"Error"))))))))+(C28+D56)/(INDEX(C35:C42,IF(A55,8,IF(A54,7,IF(A53,6,IF(A52,5,IF(A51,4,IF(A50,3,IF(A49,2,"error"))))))))-INDEX(C35:C42,IF(A48,1,IF(A49,2,IF(A50,3,IF(A51,4,IF(A52,5,IF(A53,6,IF(A54,7,"Error")))))))))</f>
        <v>0</v>
      </c>
      <c r="C61" s="66" t="str">
        <f>CONCATENATE("Change ",INDEX(A35:A42,B67,1)," to this:")</f>
        <v>Change Forward to this:</v>
      </c>
      <c r="D61" s="40"/>
      <c r="E61" s="29"/>
      <c r="F61" s="54" t="s">
        <v>93</v>
      </c>
    </row>
    <row r="62" spans="1:6" ht="13.5" thickBot="1" x14ac:dyDescent="0.25">
      <c r="A62" s="51"/>
      <c r="B62" s="67">
        <f>INDEX(C48:C55,IF(A55,8,IF(A54,7,IF(A53,6,IF(A52,5,IF(A51,4,IF(A50,3,IF(A49,2,"error"))))))))-((C28+D56)/(INDEX(C35:C42,IF(A55,8,IF(A54,7,IF(A53,6,IF(A52,5,IF(A51,4,IF(A50,3,IF(A49,2,"error"))))))))-INDEX(C35:C42,IF(A48,1,IF(A49,2,IF(A50,3,IF(A51,4,IF(A52,5,IF(A53,6,IF(A54,7,"Error"))))))))))</f>
        <v>0</v>
      </c>
      <c r="C62" s="68" t="str">
        <f>CONCATENATE("Change ",INDEX(A35:A42,B68,1)," to this:")</f>
        <v>Change Aft to this:</v>
      </c>
      <c r="D62" s="59"/>
      <c r="E62" s="29"/>
      <c r="F62" s="54" t="s">
        <v>94</v>
      </c>
    </row>
    <row r="63" spans="1:6" x14ac:dyDescent="0.2">
      <c r="A63" s="29"/>
      <c r="B63" s="46"/>
      <c r="C63" s="66"/>
      <c r="D63" s="29"/>
      <c r="E63" s="29"/>
      <c r="F63" s="29"/>
    </row>
    <row r="64" spans="1:6" x14ac:dyDescent="0.2">
      <c r="A64" s="29"/>
      <c r="B64" s="46"/>
      <c r="C64" s="66"/>
      <c r="D64" s="321"/>
      <c r="E64" s="29"/>
      <c r="F64" s="29"/>
    </row>
    <row r="65" spans="1:15" s="4" customFormat="1" x14ac:dyDescent="0.2">
      <c r="A65" s="1"/>
      <c r="B65" s="1"/>
      <c r="C65" s="1"/>
      <c r="D65" s="1"/>
      <c r="E65" s="1"/>
      <c r="F65" s="1"/>
    </row>
    <row r="66" spans="1:15" s="4" customFormat="1" hidden="1" x14ac:dyDescent="0.2">
      <c r="A66" s="5" t="s">
        <v>71</v>
      </c>
      <c r="B66" s="6"/>
      <c r="C66" s="6"/>
      <c r="D66" s="7"/>
    </row>
    <row r="67" spans="1:15" s="4" customFormat="1" hidden="1" x14ac:dyDescent="0.2">
      <c r="A67" s="11"/>
      <c r="B67" s="12">
        <f>IF(A48,1,IF(A49,2,IF(A50,3,IF(A51,4,IF(A52,5,IF(A53,6,IF(A54,7,"Error")))))))</f>
        <v>1</v>
      </c>
      <c r="C67" s="12" t="s">
        <v>62</v>
      </c>
      <c r="D67" s="13"/>
    </row>
    <row r="68" spans="1:15" s="4" customFormat="1" hidden="1" x14ac:dyDescent="0.2">
      <c r="A68" s="11"/>
      <c r="B68" s="12">
        <f>IF(A55,8,IF(A54,7,IF(A53,6,IF(A52,5,IF(A51,4,IF(A50,3,IF(A49,2,"error")))))))</f>
        <v>8</v>
      </c>
      <c r="C68" s="12" t="s">
        <v>63</v>
      </c>
      <c r="D68" s="13"/>
    </row>
    <row r="69" spans="1:15" s="4" customFormat="1" hidden="1" x14ac:dyDescent="0.2">
      <c r="A69" s="14"/>
      <c r="B69" s="12"/>
      <c r="C69" s="12"/>
      <c r="D69" s="15"/>
      <c r="E69" s="16"/>
      <c r="F69" s="16"/>
    </row>
    <row r="70" spans="1:15" s="4" customFormat="1" hidden="1" x14ac:dyDescent="0.2">
      <c r="A70" s="11"/>
      <c r="B70" s="12">
        <f>INDEX(C35:C42,IF(A48,1,IF(A49,2,IF(A50,3,IF(A51,4,IF(A52,5,IF(A53,6,IF(A54,7,"Error"))))))))</f>
        <v>-23</v>
      </c>
      <c r="C70" s="12" t="s">
        <v>64</v>
      </c>
      <c r="D70" s="18"/>
      <c r="E70" s="19"/>
      <c r="F70" s="19"/>
    </row>
    <row r="71" spans="1:15" s="4" customFormat="1" ht="13.5" hidden="1" thickBot="1" x14ac:dyDescent="0.25">
      <c r="A71" s="21"/>
      <c r="B71" s="22">
        <f>INDEX(C35:C42,IF(A55,8,IF(A54,7,IF(A53,6,IF(A52,5,IF(A51,4,IF(A50,3,IF(A49,2,"error"))))))))</f>
        <v>30.25</v>
      </c>
      <c r="C71" s="22" t="s">
        <v>65</v>
      </c>
      <c r="D71" s="23"/>
      <c r="E71" s="19"/>
      <c r="F71" s="19"/>
    </row>
    <row r="72" spans="1:15" x14ac:dyDescent="0.2">
      <c r="A72" s="28"/>
      <c r="B72" s="28"/>
      <c r="C72" s="28"/>
      <c r="D72" s="28"/>
      <c r="E72" s="28"/>
      <c r="F72" s="28"/>
    </row>
    <row r="73" spans="1:15" s="28" customFormat="1" x14ac:dyDescent="0.2">
      <c r="A73" s="33" t="s">
        <v>91</v>
      </c>
      <c r="F73" s="69"/>
    </row>
    <row r="74" spans="1:15" s="74" customFormat="1" ht="30.75" customHeight="1" x14ac:dyDescent="0.2">
      <c r="A74" s="398" t="s">
        <v>92</v>
      </c>
      <c r="B74" s="395"/>
      <c r="C74" s="395"/>
      <c r="D74" s="395"/>
      <c r="E74" s="72"/>
      <c r="F74" s="73"/>
    </row>
    <row r="75" spans="1:15" s="237" customFormat="1" ht="73.5" customHeight="1" x14ac:dyDescent="0.2">
      <c r="A75" s="394" t="s">
        <v>192</v>
      </c>
      <c r="B75" s="395"/>
      <c r="C75" s="395"/>
      <c r="D75" s="395"/>
      <c r="F75" s="236"/>
    </row>
    <row r="76" spans="1:15" s="237" customFormat="1" ht="78" customHeight="1" x14ac:dyDescent="0.2">
      <c r="A76" s="394" t="s">
        <v>193</v>
      </c>
      <c r="B76" s="395"/>
      <c r="C76" s="395"/>
      <c r="D76" s="395"/>
      <c r="F76" s="236"/>
      <c r="H76" s="75"/>
      <c r="I76" s="75"/>
      <c r="J76" s="75"/>
      <c r="K76" s="75"/>
      <c r="L76" s="75"/>
      <c r="M76" s="75"/>
      <c r="N76" s="75"/>
      <c r="O76" s="75"/>
    </row>
    <row r="77" spans="1:15" s="237" customFormat="1" ht="78.75" customHeight="1" x14ac:dyDescent="0.2">
      <c r="A77" s="394" t="s">
        <v>194</v>
      </c>
      <c r="B77" s="395"/>
      <c r="C77" s="395"/>
      <c r="D77" s="395"/>
      <c r="F77" s="236"/>
      <c r="H77" s="75"/>
      <c r="I77" s="75"/>
      <c r="J77" s="75"/>
      <c r="K77" s="75"/>
      <c r="L77" s="75"/>
      <c r="M77" s="75"/>
      <c r="N77" s="75"/>
      <c r="O77" s="75"/>
    </row>
    <row r="78" spans="1:15" s="237" customFormat="1" ht="126" customHeight="1" x14ac:dyDescent="0.2">
      <c r="A78" s="394" t="s">
        <v>195</v>
      </c>
      <c r="B78" s="395"/>
      <c r="C78" s="395"/>
      <c r="D78" s="395"/>
      <c r="F78" s="236"/>
      <c r="H78" s="75"/>
      <c r="I78" s="75"/>
      <c r="J78" s="75"/>
      <c r="K78" s="75"/>
      <c r="L78" s="75"/>
      <c r="M78" s="75"/>
      <c r="N78" s="75"/>
      <c r="O78" s="75"/>
    </row>
    <row r="79" spans="1:15" s="237" customFormat="1" ht="60.75" customHeight="1" x14ac:dyDescent="0.2">
      <c r="A79" s="394" t="s">
        <v>196</v>
      </c>
      <c r="B79" s="395"/>
      <c r="C79" s="395"/>
      <c r="D79" s="395"/>
      <c r="E79" s="75"/>
      <c r="F79" s="236"/>
      <c r="H79" s="75"/>
      <c r="I79" s="75"/>
      <c r="J79" s="75"/>
      <c r="K79" s="75"/>
      <c r="L79" s="75"/>
      <c r="M79" s="75"/>
      <c r="N79" s="75"/>
      <c r="O79" s="75"/>
    </row>
    <row r="80" spans="1:15" ht="34.5" customHeight="1" x14ac:dyDescent="0.2">
      <c r="A80" s="396" t="s">
        <v>95</v>
      </c>
      <c r="B80" s="397"/>
      <c r="C80" s="397"/>
      <c r="D80" s="397"/>
      <c r="E80" s="29"/>
      <c r="F80" s="54"/>
      <c r="G80" s="29"/>
      <c r="H80" s="29"/>
      <c r="I80" s="29"/>
      <c r="J80" s="29"/>
      <c r="K80" s="29"/>
      <c r="L80" s="29"/>
      <c r="M80" s="29"/>
      <c r="N80" s="29"/>
      <c r="O80" s="29"/>
    </row>
    <row r="81" spans="1:15" x14ac:dyDescent="0.2">
      <c r="A81" s="29"/>
      <c r="B81" s="29"/>
      <c r="C81" s="76"/>
      <c r="D81" s="46"/>
      <c r="E81" s="29"/>
      <c r="F81" s="54"/>
      <c r="G81" s="29"/>
      <c r="H81" s="29"/>
      <c r="I81" s="29"/>
      <c r="J81" s="29"/>
      <c r="K81" s="29"/>
      <c r="L81" s="29"/>
      <c r="M81" s="29"/>
      <c r="N81" s="29"/>
      <c r="O81" s="29"/>
    </row>
    <row r="82" spans="1:15" x14ac:dyDescent="0.2">
      <c r="A82" s="29" t="s">
        <v>100</v>
      </c>
      <c r="B82" s="29"/>
      <c r="C82" s="76"/>
      <c r="D82" s="46"/>
      <c r="E82" s="29"/>
      <c r="F82" s="54"/>
      <c r="G82" s="29"/>
      <c r="H82" s="29"/>
      <c r="I82" s="29"/>
      <c r="J82" s="29"/>
      <c r="K82" s="29"/>
      <c r="L82" s="29"/>
      <c r="M82" s="29"/>
      <c r="N82" s="29"/>
      <c r="O82" s="29"/>
    </row>
  </sheetData>
  <sheetProtection password="DA1B" sheet="1" objects="1" scenarios="1"/>
  <mergeCells count="8">
    <mergeCell ref="A15:D15"/>
    <mergeCell ref="A80:D80"/>
    <mergeCell ref="A74:D74"/>
    <mergeCell ref="A75:D75"/>
    <mergeCell ref="A76:D76"/>
    <mergeCell ref="A77:D77"/>
    <mergeCell ref="A78:D78"/>
    <mergeCell ref="A79:D79"/>
  </mergeCells>
  <pageMargins left="0.75" right="0.75" top="1" bottom="1" header="0.5" footer="0.5"/>
  <pageSetup scale="7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82"/>
  <sheetViews>
    <sheetView zoomScaleNormal="100" zoomScaleSheetLayoutView="115" workbookViewId="0"/>
  </sheetViews>
  <sheetFormatPr defaultColWidth="9.140625" defaultRowHeight="12.75" x14ac:dyDescent="0.2"/>
  <cols>
    <col min="1" max="1" width="31.140625" style="25" customWidth="1"/>
    <col min="2" max="2" width="17.85546875" style="25" customWidth="1"/>
    <col min="3" max="3" width="23.28515625" style="25" customWidth="1"/>
    <col min="4" max="4" width="14.140625" style="25" customWidth="1"/>
    <col min="5" max="5" width="13.7109375" style="25" bestFit="1" customWidth="1"/>
    <col min="6" max="6" width="86.7109375" style="25" bestFit="1" customWidth="1"/>
    <col min="7" max="16384" width="9.140625" style="25"/>
  </cols>
  <sheetData>
    <row r="1" spans="1:6" customFormat="1" ht="20.25" customHeight="1" x14ac:dyDescent="0.2">
      <c r="A1" s="25"/>
      <c r="B1" s="25"/>
      <c r="C1" s="90"/>
      <c r="D1" s="177" t="s">
        <v>167</v>
      </c>
      <c r="E1" s="178" t="str">
        <f>Ballast!$H$1</f>
        <v>4095-GBPSH</v>
      </c>
    </row>
    <row r="2" spans="1:6" customFormat="1" ht="20.25" customHeight="1" x14ac:dyDescent="0.2">
      <c r="A2" s="25"/>
      <c r="B2" s="25"/>
      <c r="C2" s="90"/>
      <c r="D2" s="179" t="s">
        <v>168</v>
      </c>
      <c r="E2" s="180" t="str">
        <f>Ballast!$H$2</f>
        <v>F</v>
      </c>
    </row>
    <row r="3" spans="1:6" customFormat="1" ht="20.25" customHeight="1" x14ac:dyDescent="0.2">
      <c r="A3" s="25"/>
      <c r="B3" s="25"/>
      <c r="C3" s="90"/>
      <c r="D3" s="179" t="s">
        <v>1</v>
      </c>
      <c r="E3" s="181">
        <f>Ballast!$H$3</f>
        <v>41813</v>
      </c>
    </row>
    <row r="4" spans="1:6" customFormat="1" ht="20.25" customHeight="1" thickBot="1" x14ac:dyDescent="0.25">
      <c r="A4" s="25"/>
      <c r="B4" s="25"/>
      <c r="C4" s="90"/>
      <c r="D4" s="182" t="s">
        <v>169</v>
      </c>
      <c r="E4" s="183">
        <f>Ballast!$H$4</f>
        <v>12698</v>
      </c>
    </row>
    <row r="5" spans="1:6" customFormat="1" ht="15" customHeight="1" thickBot="1" x14ac:dyDescent="0.25">
      <c r="A5" s="25"/>
      <c r="B5" s="25"/>
      <c r="C5" s="90"/>
      <c r="D5" s="90"/>
      <c r="E5" s="90"/>
    </row>
    <row r="6" spans="1:6" customFormat="1" ht="15" customHeight="1" thickTop="1" thickBot="1" x14ac:dyDescent="0.25">
      <c r="A6" s="217"/>
      <c r="B6" s="217"/>
      <c r="C6" s="187"/>
      <c r="D6" s="187"/>
      <c r="E6" s="187"/>
    </row>
    <row r="7" spans="1:6" x14ac:dyDescent="0.2">
      <c r="A7" s="174" t="s">
        <v>38</v>
      </c>
      <c r="B7" s="247" t="str">
        <f>IF(ISBLANK(Ballast!C13),"",Ballast!C13)</f>
        <v/>
      </c>
      <c r="C7" s="90"/>
      <c r="D7" s="90"/>
      <c r="E7" s="90"/>
      <c r="F7" s="33"/>
    </row>
    <row r="8" spans="1:6" ht="13.5" thickBot="1" x14ac:dyDescent="0.25">
      <c r="A8" s="175" t="s">
        <v>1</v>
      </c>
      <c r="B8" s="248" t="str">
        <f>IF(ISBLANK(Ballast!C15),"",Ballast!C15)</f>
        <v/>
      </c>
      <c r="C8" s="90"/>
      <c r="D8" s="90"/>
      <c r="E8" s="90"/>
      <c r="F8" s="33"/>
    </row>
    <row r="9" spans="1:6" x14ac:dyDescent="0.2">
      <c r="A9" s="238"/>
      <c r="B9" s="239"/>
      <c r="C9" s="90"/>
      <c r="D9" s="90"/>
      <c r="E9" s="90"/>
      <c r="F9" s="33"/>
    </row>
    <row r="10" spans="1:6" x14ac:dyDescent="0.2">
      <c r="A10" s="238"/>
      <c r="B10" s="239"/>
      <c r="C10" s="90"/>
      <c r="D10" s="90"/>
      <c r="E10" s="90"/>
      <c r="F10" s="33"/>
    </row>
    <row r="11" spans="1:6" x14ac:dyDescent="0.2">
      <c r="A11" s="238"/>
      <c r="B11" s="239"/>
      <c r="C11" s="90"/>
      <c r="D11" s="90"/>
      <c r="E11" s="90"/>
      <c r="F11" s="33"/>
    </row>
    <row r="12" spans="1:6" x14ac:dyDescent="0.2">
      <c r="A12" s="238"/>
      <c r="B12" s="239"/>
      <c r="C12" s="90"/>
      <c r="D12" s="90"/>
      <c r="E12" s="90"/>
      <c r="F12" s="33"/>
    </row>
    <row r="13" spans="1:6" x14ac:dyDescent="0.2">
      <c r="A13" s="238"/>
      <c r="B13" s="239"/>
      <c r="C13" s="90"/>
      <c r="D13" s="90"/>
      <c r="E13" s="90"/>
      <c r="F13" s="33"/>
    </row>
    <row r="14" spans="1:6" x14ac:dyDescent="0.2">
      <c r="A14" s="238"/>
      <c r="B14" s="239"/>
      <c r="C14" s="90"/>
      <c r="D14" s="90"/>
      <c r="E14" s="90"/>
      <c r="F14" s="33"/>
    </row>
    <row r="15" spans="1:6" x14ac:dyDescent="0.2">
      <c r="A15" s="393" t="s">
        <v>186</v>
      </c>
      <c r="B15" s="393"/>
      <c r="C15" s="393"/>
      <c r="D15" s="393"/>
      <c r="E15" s="90"/>
      <c r="F15" s="33"/>
    </row>
    <row r="16" spans="1:6" ht="13.5" thickBot="1" x14ac:dyDescent="0.25">
      <c r="A16" s="34"/>
      <c r="C16" s="90"/>
      <c r="D16" s="90"/>
      <c r="E16" s="90"/>
      <c r="F16" s="33"/>
    </row>
    <row r="17" spans="1:6" x14ac:dyDescent="0.2">
      <c r="A17" s="35" t="s">
        <v>69</v>
      </c>
      <c r="B17" s="36"/>
      <c r="C17" s="188"/>
      <c r="D17" s="189"/>
      <c r="E17" s="90"/>
      <c r="F17" s="33"/>
    </row>
    <row r="18" spans="1:6" x14ac:dyDescent="0.2">
      <c r="A18" s="38"/>
      <c r="B18" s="39" t="s">
        <v>48</v>
      </c>
      <c r="C18" s="77">
        <v>0</v>
      </c>
      <c r="D18" s="40" t="s">
        <v>10</v>
      </c>
      <c r="E18" s="192" t="str">
        <f>IF(C18&gt;5000,"Error: scale reading too high",IF(C18&lt;0,"Error: scale reading should be positive",""))</f>
        <v/>
      </c>
      <c r="F18" s="33"/>
    </row>
    <row r="19" spans="1:6" x14ac:dyDescent="0.2">
      <c r="A19" s="41"/>
      <c r="B19" s="42" t="s">
        <v>49</v>
      </c>
      <c r="C19" s="77">
        <v>0</v>
      </c>
      <c r="D19" s="40" t="s">
        <v>10</v>
      </c>
      <c r="E19" s="192" t="str">
        <f>IF(C19&gt;5000,"Error: scale reading too high",IF(C19&lt;0,"Error: scale reading should be positive",""))</f>
        <v/>
      </c>
      <c r="F19" s="33"/>
    </row>
    <row r="20" spans="1:6" x14ac:dyDescent="0.2">
      <c r="A20" s="41"/>
      <c r="B20" s="42" t="s">
        <v>50</v>
      </c>
      <c r="C20" s="194">
        <f>Ballast!G39</f>
        <v>0</v>
      </c>
      <c r="D20" s="40" t="s">
        <v>10</v>
      </c>
      <c r="E20" s="90"/>
      <c r="F20" s="33"/>
    </row>
    <row r="21" spans="1:6" x14ac:dyDescent="0.2">
      <c r="A21" s="43"/>
      <c r="B21" s="44" t="str">
        <f>IF((C18+C19-C20)&gt;0,"Total weight to remove:","Total weight to add:")</f>
        <v>Total weight to add:</v>
      </c>
      <c r="C21" s="196">
        <f>ABS(C18+C19-C20)</f>
        <v>0</v>
      </c>
      <c r="D21" s="45" t="s">
        <v>10</v>
      </c>
      <c r="E21" s="90"/>
      <c r="F21" s="33"/>
    </row>
    <row r="22" spans="1:6" x14ac:dyDescent="0.2">
      <c r="A22" s="193"/>
      <c r="B22" s="197"/>
      <c r="C22" s="198"/>
      <c r="D22" s="40"/>
      <c r="E22" s="90"/>
      <c r="F22" s="33"/>
    </row>
    <row r="23" spans="1:6" x14ac:dyDescent="0.2">
      <c r="A23" s="193"/>
      <c r="B23" s="47" t="s">
        <v>47</v>
      </c>
      <c r="C23" s="48" t="s">
        <v>51</v>
      </c>
      <c r="D23" s="40"/>
      <c r="E23" s="90"/>
      <c r="F23" s="33"/>
    </row>
    <row r="24" spans="1:6" x14ac:dyDescent="0.2">
      <c r="A24" s="193"/>
      <c r="B24" s="49" t="s">
        <v>75</v>
      </c>
      <c r="C24" s="49" t="s">
        <v>75</v>
      </c>
      <c r="D24" s="40"/>
      <c r="E24" s="90"/>
      <c r="F24" s="33"/>
    </row>
    <row r="25" spans="1:6" x14ac:dyDescent="0.2">
      <c r="A25" s="50" t="s">
        <v>42</v>
      </c>
      <c r="B25" s="227">
        <v>1</v>
      </c>
      <c r="C25" s="199">
        <f>B25-$C$31</f>
        <v>-27</v>
      </c>
      <c r="D25" s="40"/>
      <c r="E25" s="90" t="str">
        <f>IF(B25&lt;-10,"Error: Check scale position",IF(B25&gt;30, "Error, check scale position",""))</f>
        <v/>
      </c>
      <c r="F25" s="33"/>
    </row>
    <row r="26" spans="1:6" x14ac:dyDescent="0.2">
      <c r="A26" s="50" t="s">
        <v>43</v>
      </c>
      <c r="B26" s="227">
        <v>63.85</v>
      </c>
      <c r="C26" s="199">
        <f>B26-$C$31</f>
        <v>35.85</v>
      </c>
      <c r="D26" s="40"/>
      <c r="E26" s="90" t="str">
        <f>IF(B26&lt;20,"Error: Check scale position",IF(B26&gt;70, "Error, check scale position",""))</f>
        <v/>
      </c>
      <c r="F26" s="33"/>
    </row>
    <row r="27" spans="1:6" x14ac:dyDescent="0.2">
      <c r="A27" s="41"/>
      <c r="B27" s="28"/>
      <c r="C27" s="197"/>
      <c r="D27" s="40"/>
      <c r="E27" s="90"/>
      <c r="F27" s="33"/>
    </row>
    <row r="28" spans="1:6" ht="13.5" thickBot="1" x14ac:dyDescent="0.25">
      <c r="A28" s="51"/>
      <c r="B28" s="52" t="s">
        <v>83</v>
      </c>
      <c r="C28" s="186">
        <f>(C18*C25)+(C19*C26)</f>
        <v>0</v>
      </c>
      <c r="D28" s="53" t="s">
        <v>39</v>
      </c>
      <c r="E28" s="90"/>
      <c r="F28" s="33"/>
    </row>
    <row r="29" spans="1:6" ht="13.5" thickBot="1" x14ac:dyDescent="0.25">
      <c r="A29" s="197"/>
      <c r="B29" s="202"/>
      <c r="C29" s="197"/>
      <c r="D29" s="197"/>
      <c r="E29" s="197"/>
      <c r="F29" s="54" t="s">
        <v>90</v>
      </c>
    </row>
    <row r="30" spans="1:6" x14ac:dyDescent="0.2">
      <c r="A30" s="55" t="s">
        <v>45</v>
      </c>
      <c r="B30" s="188"/>
      <c r="C30" s="188"/>
      <c r="D30" s="189"/>
      <c r="E30" s="197"/>
      <c r="F30" s="33" t="s">
        <v>70</v>
      </c>
    </row>
    <row r="31" spans="1:6" x14ac:dyDescent="0.2">
      <c r="A31" s="41"/>
      <c r="B31" s="56" t="s">
        <v>44</v>
      </c>
      <c r="C31" s="79">
        <v>28</v>
      </c>
      <c r="D31" s="203"/>
      <c r="E31" s="197"/>
      <c r="F31" s="33" t="s">
        <v>46</v>
      </c>
    </row>
    <row r="32" spans="1:6" ht="13.5" thickBot="1" x14ac:dyDescent="0.25">
      <c r="A32" s="41"/>
      <c r="B32" s="197"/>
      <c r="C32" s="197"/>
      <c r="D32" s="191"/>
      <c r="E32" s="197"/>
      <c r="F32" s="33" t="s">
        <v>77</v>
      </c>
    </row>
    <row r="33" spans="1:6" x14ac:dyDescent="0.2">
      <c r="A33" s="57" t="s">
        <v>53</v>
      </c>
      <c r="B33" s="57" t="s">
        <v>74</v>
      </c>
      <c r="C33" s="57" t="s">
        <v>76</v>
      </c>
      <c r="D33" s="191"/>
      <c r="E33" s="197"/>
      <c r="F33" s="33" t="s">
        <v>96</v>
      </c>
    </row>
    <row r="34" spans="1:6" ht="13.5" thickBot="1" x14ac:dyDescent="0.25">
      <c r="A34" s="58"/>
      <c r="B34" s="58" t="s">
        <v>75</v>
      </c>
      <c r="C34" s="58" t="s">
        <v>75</v>
      </c>
      <c r="D34" s="191"/>
      <c r="E34" s="197"/>
      <c r="F34" s="33" t="s">
        <v>97</v>
      </c>
    </row>
    <row r="35" spans="1:6" x14ac:dyDescent="0.2">
      <c r="A35" s="214" t="s">
        <v>87</v>
      </c>
      <c r="B35" s="80">
        <v>2</v>
      </c>
      <c r="C35" s="204">
        <f t="shared" ref="C35:C42" si="0">B35-C$31</f>
        <v>-26</v>
      </c>
      <c r="D35" s="191"/>
      <c r="E35" s="197"/>
      <c r="F35" s="33"/>
    </row>
    <row r="36" spans="1:6" x14ac:dyDescent="0.2">
      <c r="A36" s="225" t="s">
        <v>116</v>
      </c>
      <c r="B36" s="81">
        <v>2.125</v>
      </c>
      <c r="C36" s="199">
        <f t="shared" si="0"/>
        <v>-25.875</v>
      </c>
      <c r="D36" s="191"/>
      <c r="E36" s="197"/>
    </row>
    <row r="37" spans="1:6" x14ac:dyDescent="0.2">
      <c r="A37" s="225" t="s">
        <v>184</v>
      </c>
      <c r="B37" s="81">
        <v>19.5</v>
      </c>
      <c r="C37" s="199">
        <f t="shared" si="0"/>
        <v>-8.5</v>
      </c>
      <c r="D37" s="191"/>
      <c r="E37" s="197"/>
      <c r="F37" s="33"/>
    </row>
    <row r="38" spans="1:6" x14ac:dyDescent="0.2">
      <c r="A38" s="225" t="s">
        <v>114</v>
      </c>
      <c r="B38" s="228">
        <v>34.35</v>
      </c>
      <c r="C38" s="199">
        <f t="shared" si="0"/>
        <v>6.3500000000000014</v>
      </c>
      <c r="D38" s="191"/>
      <c r="E38" s="197"/>
      <c r="F38" s="33"/>
    </row>
    <row r="39" spans="1:6" x14ac:dyDescent="0.2">
      <c r="A39" s="215" t="s">
        <v>52</v>
      </c>
      <c r="B39" s="81">
        <v>38.6</v>
      </c>
      <c r="C39" s="199">
        <f t="shared" si="0"/>
        <v>10.600000000000001</v>
      </c>
      <c r="D39" s="191"/>
      <c r="E39" s="197"/>
      <c r="F39" s="33"/>
    </row>
    <row r="40" spans="1:6" x14ac:dyDescent="0.2">
      <c r="A40" s="225" t="s">
        <v>176</v>
      </c>
      <c r="B40" s="82">
        <v>9999</v>
      </c>
      <c r="C40" s="199">
        <f t="shared" si="0"/>
        <v>9971</v>
      </c>
      <c r="D40" s="191"/>
      <c r="E40" s="197"/>
      <c r="F40" s="33"/>
    </row>
    <row r="41" spans="1:6" x14ac:dyDescent="0.2">
      <c r="A41" s="225" t="s">
        <v>115</v>
      </c>
      <c r="B41" s="81">
        <v>44.85</v>
      </c>
      <c r="C41" s="199">
        <f t="shared" si="0"/>
        <v>16.850000000000001</v>
      </c>
      <c r="D41" s="191"/>
      <c r="E41" s="197"/>
      <c r="F41" s="33"/>
    </row>
    <row r="42" spans="1:6" ht="13.5" thickBot="1" x14ac:dyDescent="0.25">
      <c r="A42" s="216" t="s">
        <v>40</v>
      </c>
      <c r="B42" s="83">
        <v>64.349999999999994</v>
      </c>
      <c r="C42" s="205">
        <f t="shared" si="0"/>
        <v>36.349999999999994</v>
      </c>
      <c r="D42" s="206"/>
      <c r="E42" s="197"/>
      <c r="F42" s="33"/>
    </row>
    <row r="43" spans="1:6" ht="13.5" thickBot="1" x14ac:dyDescent="0.25">
      <c r="B43" s="90"/>
      <c r="C43" s="90"/>
      <c r="D43" s="90"/>
      <c r="E43" s="90"/>
      <c r="F43" s="33"/>
    </row>
    <row r="44" spans="1:6" x14ac:dyDescent="0.2">
      <c r="A44" s="55" t="s">
        <v>66</v>
      </c>
      <c r="B44" s="188"/>
      <c r="C44" s="188"/>
      <c r="D44" s="189"/>
      <c r="E44" s="90"/>
      <c r="F44" s="33"/>
    </row>
    <row r="45" spans="1:6" ht="13.5" thickBot="1" x14ac:dyDescent="0.25">
      <c r="A45" s="41"/>
      <c r="B45" s="197"/>
      <c r="C45" s="197"/>
      <c r="D45" s="191"/>
      <c r="E45" s="90"/>
      <c r="F45" s="33"/>
    </row>
    <row r="46" spans="1:6" ht="25.5" x14ac:dyDescent="0.2">
      <c r="A46" s="57" t="s">
        <v>84</v>
      </c>
      <c r="B46" s="57" t="s">
        <v>67</v>
      </c>
      <c r="C46" s="36" t="s">
        <v>60</v>
      </c>
      <c r="D46" s="173" t="s">
        <v>61</v>
      </c>
      <c r="E46" s="212" t="s">
        <v>98</v>
      </c>
      <c r="F46" s="33"/>
    </row>
    <row r="47" spans="1:6" ht="13.5" thickBot="1" x14ac:dyDescent="0.25">
      <c r="A47" s="60" t="s">
        <v>85</v>
      </c>
      <c r="B47" s="58"/>
      <c r="C47" s="61" t="s">
        <v>72</v>
      </c>
      <c r="D47" s="60" t="s">
        <v>73</v>
      </c>
      <c r="E47" s="213" t="s">
        <v>99</v>
      </c>
      <c r="F47" s="33"/>
    </row>
    <row r="48" spans="1:6" x14ac:dyDescent="0.2">
      <c r="A48" s="84">
        <v>1</v>
      </c>
      <c r="B48" s="62" t="str">
        <f t="shared" ref="B48:B55" si="1">A35</f>
        <v>Forward</v>
      </c>
      <c r="C48" s="85">
        <v>0</v>
      </c>
      <c r="D48" s="207">
        <f t="shared" ref="D48:D55" si="2">C35*C48</f>
        <v>0</v>
      </c>
      <c r="E48" s="91"/>
      <c r="F48" s="94" t="str">
        <f t="shared" ref="F48:F56" si="3">IF(ABS(C48)&gt;5000,"Error: Weight adjustment too high","")</f>
        <v/>
      </c>
    </row>
    <row r="49" spans="1:6" x14ac:dyDescent="0.2">
      <c r="A49" s="85">
        <v>0</v>
      </c>
      <c r="B49" s="62" t="str">
        <f t="shared" si="1"/>
        <v>Nose Weights</v>
      </c>
      <c r="C49" s="85">
        <v>0</v>
      </c>
      <c r="D49" s="207">
        <f t="shared" si="2"/>
        <v>0</v>
      </c>
      <c r="E49" s="92"/>
      <c r="F49" s="94" t="str">
        <f t="shared" si="3"/>
        <v/>
      </c>
    </row>
    <row r="50" spans="1:6" x14ac:dyDescent="0.2">
      <c r="A50" s="85">
        <v>1</v>
      </c>
      <c r="B50" s="62" t="str">
        <f t="shared" si="1"/>
        <v>Energy Bay fwd plates</v>
      </c>
      <c r="C50" s="85">
        <v>0</v>
      </c>
      <c r="D50" s="207">
        <f t="shared" si="2"/>
        <v>0</v>
      </c>
      <c r="E50" s="92"/>
      <c r="F50" s="94" t="str">
        <f t="shared" si="3"/>
        <v/>
      </c>
    </row>
    <row r="51" spans="1:6" x14ac:dyDescent="0.2">
      <c r="A51" s="85">
        <v>1</v>
      </c>
      <c r="B51" s="62" t="str">
        <f t="shared" si="1"/>
        <v>Sci fwd plates</v>
      </c>
      <c r="C51" s="85">
        <v>0</v>
      </c>
      <c r="D51" s="207">
        <f t="shared" si="2"/>
        <v>0</v>
      </c>
      <c r="E51" s="92"/>
      <c r="F51" s="94" t="str">
        <f t="shared" si="3"/>
        <v/>
      </c>
    </row>
    <row r="52" spans="1:6" x14ac:dyDescent="0.2">
      <c r="A52" s="85">
        <v>1</v>
      </c>
      <c r="B52" s="62" t="str">
        <f t="shared" si="1"/>
        <v>Center</v>
      </c>
      <c r="C52" s="85">
        <v>0</v>
      </c>
      <c r="D52" s="207">
        <f t="shared" si="2"/>
        <v>0</v>
      </c>
      <c r="E52" s="92"/>
      <c r="F52" s="94" t="str">
        <f t="shared" si="3"/>
        <v/>
      </c>
    </row>
    <row r="53" spans="1:6" x14ac:dyDescent="0.2">
      <c r="A53" s="85">
        <v>0</v>
      </c>
      <c r="B53" s="62" t="str">
        <f t="shared" si="1"/>
        <v>Sci aft disc(unused)</v>
      </c>
      <c r="C53" s="85">
        <v>0</v>
      </c>
      <c r="D53" s="207">
        <f t="shared" si="2"/>
        <v>0</v>
      </c>
      <c r="E53" s="92"/>
      <c r="F53" s="94" t="str">
        <f t="shared" si="3"/>
        <v/>
      </c>
    </row>
    <row r="54" spans="1:6" x14ac:dyDescent="0.2">
      <c r="A54" s="85">
        <v>1</v>
      </c>
      <c r="B54" s="62" t="str">
        <f t="shared" si="1"/>
        <v>Sci aft plates</v>
      </c>
      <c r="C54" s="85">
        <v>0</v>
      </c>
      <c r="D54" s="207">
        <f t="shared" si="2"/>
        <v>0</v>
      </c>
      <c r="E54" s="92"/>
      <c r="F54" s="94" t="str">
        <f t="shared" si="3"/>
        <v/>
      </c>
    </row>
    <row r="55" spans="1:6" ht="13.5" thickBot="1" x14ac:dyDescent="0.25">
      <c r="A55" s="86">
        <v>1</v>
      </c>
      <c r="B55" s="58" t="str">
        <f t="shared" si="1"/>
        <v>Aft</v>
      </c>
      <c r="C55" s="86">
        <v>0</v>
      </c>
      <c r="D55" s="208">
        <f t="shared" si="2"/>
        <v>0</v>
      </c>
      <c r="E55" s="93"/>
      <c r="F55" s="94" t="str">
        <f t="shared" si="3"/>
        <v/>
      </c>
    </row>
    <row r="56" spans="1:6" ht="13.5" thickBot="1" x14ac:dyDescent="0.25">
      <c r="A56" s="201"/>
      <c r="B56" s="209"/>
      <c r="C56" s="186">
        <f>SUM(C48:C55)</f>
        <v>0</v>
      </c>
      <c r="D56" s="210">
        <f>SUM(D48:D55)</f>
        <v>0</v>
      </c>
      <c r="E56" s="90"/>
      <c r="F56" s="94" t="str">
        <f t="shared" si="3"/>
        <v/>
      </c>
    </row>
    <row r="57" spans="1:6" ht="13.5" thickBot="1" x14ac:dyDescent="0.25">
      <c r="A57" s="90"/>
      <c r="B57" s="90"/>
      <c r="C57" s="90"/>
      <c r="D57" s="90"/>
      <c r="E57" s="90"/>
      <c r="F57" s="33"/>
    </row>
    <row r="58" spans="1:6" x14ac:dyDescent="0.2">
      <c r="A58" s="55" t="s">
        <v>68</v>
      </c>
      <c r="B58" s="36"/>
      <c r="C58" s="36"/>
      <c r="D58" s="37"/>
      <c r="E58" s="29"/>
      <c r="F58" s="63"/>
    </row>
    <row r="59" spans="1:6" x14ac:dyDescent="0.2">
      <c r="A59" s="41"/>
      <c r="B59" s="64">
        <f>ABS((C18+C19-C20)+C56)</f>
        <v>0</v>
      </c>
      <c r="C59" s="31" t="str">
        <f>IF(((C18+C19-C20)+C56)&gt;=0,"additional grams need to be removed", "additional grams need to be added")</f>
        <v>additional grams need to be removed</v>
      </c>
      <c r="D59" s="40"/>
      <c r="E59" s="29"/>
      <c r="F59" s="54"/>
    </row>
    <row r="60" spans="1:6" x14ac:dyDescent="0.2">
      <c r="A60" s="41"/>
      <c r="B60" s="46">
        <f>ABS((C28+D56)/(B71-B70))</f>
        <v>0</v>
      </c>
      <c r="C60" s="46" t="str">
        <f>CONCATENATE("Grams need to move from ",IF((C28+D56)&lt;=0,INDEX(A35:A42,B67,1),INDEX(A35:A42,B68,1))," to ",IF((C28+D56)&lt;=0,INDEX(A35:A42,B68,1),INDEX(A35:A42,B67,1)))</f>
        <v>Grams need to move from Forward to Aft</v>
      </c>
      <c r="D60" s="40"/>
      <c r="E60" s="29"/>
      <c r="F60" s="54"/>
    </row>
    <row r="61" spans="1:6" x14ac:dyDescent="0.2">
      <c r="A61" s="41"/>
      <c r="B61" s="46">
        <f>INDEX(C48:C55,IF(A48,1,IF(A49,2,IF(A50,3,IF(A51,4,IF(A52,5,IF(A53,6,IF(A54,7,"Error"))))))))+(C28+D56)/(INDEX(C35:C42,IF(A55,8,IF(A54,7,IF(A53,6,IF(A52,5,IF(A51,4,IF(A50,3,IF(A49,2,"error"))))))))-INDEX(C35:C42,IF(A48,1,IF(A49,2,IF(A50,3,IF(A51,4,IF(A52,5,IF(A53,6,IF(A54,7,"Error")))))))))</f>
        <v>0</v>
      </c>
      <c r="C61" s="66" t="str">
        <f>CONCATENATE("Change ",INDEX(A35:A42,B67,1)," to this:")</f>
        <v>Change Forward to this:</v>
      </c>
      <c r="D61" s="40"/>
      <c r="E61" s="29"/>
      <c r="F61" s="54" t="s">
        <v>93</v>
      </c>
    </row>
    <row r="62" spans="1:6" ht="13.5" thickBot="1" x14ac:dyDescent="0.25">
      <c r="A62" s="51"/>
      <c r="B62" s="67">
        <f>INDEX(C48:C55,IF(A55,8,IF(A54,7,IF(A53,6,IF(A52,5,IF(A51,4,IF(A50,3,IF(A49,2,"error"))))))))-((C28+D56)/(INDEX(C35:C42,IF(A55,8,IF(A54,7,IF(A53,6,IF(A52,5,IF(A51,4,IF(A50,3,IF(A49,2,"error"))))))))-INDEX(C35:C42,IF(A48,1,IF(A49,2,IF(A50,3,IF(A51,4,IF(A52,5,IF(A53,6,IF(A54,7,"Error"))))))))))</f>
        <v>0</v>
      </c>
      <c r="C62" s="68" t="str">
        <f>CONCATENATE("Change ",INDEX(A35:A42,B68,1)," to this:")</f>
        <v>Change Aft to this:</v>
      </c>
      <c r="D62" s="59"/>
      <c r="E62" s="29"/>
      <c r="F62" s="54" t="s">
        <v>94</v>
      </c>
    </row>
    <row r="63" spans="1:6" x14ac:dyDescent="0.2">
      <c r="A63" s="29"/>
      <c r="B63" s="46"/>
      <c r="C63" s="66"/>
      <c r="D63" s="29"/>
      <c r="E63" s="29"/>
      <c r="F63" s="29"/>
    </row>
    <row r="64" spans="1:6" x14ac:dyDescent="0.2">
      <c r="A64" s="29"/>
      <c r="B64" s="46"/>
      <c r="C64" s="66"/>
      <c r="D64" s="321"/>
      <c r="E64" s="29"/>
      <c r="F64" s="29"/>
    </row>
    <row r="65" spans="1:15" s="4" customFormat="1" x14ac:dyDescent="0.2">
      <c r="A65" s="1"/>
      <c r="B65" s="1"/>
      <c r="C65" s="1"/>
      <c r="D65" s="1"/>
      <c r="E65" s="1"/>
      <c r="F65" s="1"/>
    </row>
    <row r="66" spans="1:15" s="4" customFormat="1" hidden="1" x14ac:dyDescent="0.2">
      <c r="A66" s="5" t="s">
        <v>71</v>
      </c>
      <c r="B66" s="6"/>
      <c r="C66" s="6"/>
      <c r="D66" s="7"/>
    </row>
    <row r="67" spans="1:15" s="4" customFormat="1" hidden="1" x14ac:dyDescent="0.2">
      <c r="A67" s="11"/>
      <c r="B67" s="12">
        <f>IF(A48,1,IF(A49,2,IF(A50,3,IF(A51,4,IF(A52,5,IF(A53,6,IF(A54,7,"Error")))))))</f>
        <v>1</v>
      </c>
      <c r="C67" s="12" t="s">
        <v>62</v>
      </c>
      <c r="D67" s="13"/>
    </row>
    <row r="68" spans="1:15" s="4" customFormat="1" hidden="1" x14ac:dyDescent="0.2">
      <c r="A68" s="11"/>
      <c r="B68" s="12">
        <f>IF(A55,8,IF(A54,7,IF(A53,6,IF(A52,5,IF(A51,4,IF(A50,3,IF(A49,2,"error")))))))</f>
        <v>8</v>
      </c>
      <c r="C68" s="12" t="s">
        <v>63</v>
      </c>
      <c r="D68" s="13"/>
    </row>
    <row r="69" spans="1:15" s="4" customFormat="1" hidden="1" x14ac:dyDescent="0.2">
      <c r="A69" s="14"/>
      <c r="B69" s="12"/>
      <c r="C69" s="12"/>
      <c r="D69" s="15"/>
      <c r="E69" s="16"/>
      <c r="F69" s="16"/>
    </row>
    <row r="70" spans="1:15" s="4" customFormat="1" hidden="1" x14ac:dyDescent="0.2">
      <c r="A70" s="11"/>
      <c r="B70" s="12">
        <f>INDEX(C35:C42,IF(A48,1,IF(A49,2,IF(A50,3,IF(A51,4,IF(A52,5,IF(A53,6,IF(A54,7,"Error"))))))))</f>
        <v>-26</v>
      </c>
      <c r="C70" s="12" t="s">
        <v>64</v>
      </c>
      <c r="D70" s="18"/>
      <c r="E70" s="19"/>
      <c r="F70" s="19"/>
    </row>
    <row r="71" spans="1:15" s="4" customFormat="1" ht="13.5" hidden="1" thickBot="1" x14ac:dyDescent="0.25">
      <c r="A71" s="21"/>
      <c r="B71" s="22">
        <f>INDEX(C35:C42,IF(A55,8,IF(A54,7,IF(A53,6,IF(A52,5,IF(A51,4,IF(A50,3,IF(A49,2,"error"))))))))</f>
        <v>36.349999999999994</v>
      </c>
      <c r="C71" s="22" t="s">
        <v>65</v>
      </c>
      <c r="D71" s="23"/>
      <c r="E71" s="19"/>
      <c r="F71" s="19"/>
    </row>
    <row r="72" spans="1:15" x14ac:dyDescent="0.2">
      <c r="A72" s="28"/>
      <c r="B72" s="28"/>
      <c r="C72" s="28"/>
      <c r="D72" s="28"/>
      <c r="E72" s="28"/>
      <c r="F72" s="28"/>
    </row>
    <row r="73" spans="1:15" s="28" customFormat="1" x14ac:dyDescent="0.2">
      <c r="A73" s="33" t="s">
        <v>91</v>
      </c>
      <c r="F73" s="69"/>
    </row>
    <row r="74" spans="1:15" s="74" customFormat="1" ht="30.75" customHeight="1" x14ac:dyDescent="0.2">
      <c r="A74" s="398" t="s">
        <v>92</v>
      </c>
      <c r="B74" s="395"/>
      <c r="C74" s="395"/>
      <c r="D74" s="395"/>
      <c r="E74" s="72"/>
      <c r="F74" s="73"/>
    </row>
    <row r="75" spans="1:15" s="237" customFormat="1" ht="73.5" customHeight="1" x14ac:dyDescent="0.2">
      <c r="A75" s="394" t="s">
        <v>192</v>
      </c>
      <c r="B75" s="395"/>
      <c r="C75" s="395"/>
      <c r="D75" s="395"/>
      <c r="F75" s="236"/>
    </row>
    <row r="76" spans="1:15" s="237" customFormat="1" ht="78" customHeight="1" x14ac:dyDescent="0.2">
      <c r="A76" s="394" t="s">
        <v>193</v>
      </c>
      <c r="B76" s="395"/>
      <c r="C76" s="395"/>
      <c r="D76" s="395"/>
      <c r="F76" s="236"/>
      <c r="H76" s="75"/>
      <c r="I76" s="75"/>
      <c r="J76" s="75"/>
      <c r="K76" s="75"/>
      <c r="L76" s="75"/>
      <c r="M76" s="75"/>
      <c r="N76" s="75"/>
      <c r="O76" s="75"/>
    </row>
    <row r="77" spans="1:15" s="237" customFormat="1" ht="78.75" customHeight="1" x14ac:dyDescent="0.2">
      <c r="A77" s="394" t="s">
        <v>194</v>
      </c>
      <c r="B77" s="395"/>
      <c r="C77" s="395"/>
      <c r="D77" s="395"/>
      <c r="F77" s="236"/>
      <c r="H77" s="75"/>
      <c r="I77" s="75"/>
      <c r="J77" s="75"/>
      <c r="K77" s="75"/>
      <c r="L77" s="75"/>
      <c r="M77" s="75"/>
      <c r="N77" s="75"/>
      <c r="O77" s="75"/>
    </row>
    <row r="78" spans="1:15" s="237" customFormat="1" ht="126" customHeight="1" x14ac:dyDescent="0.2">
      <c r="A78" s="394" t="s">
        <v>195</v>
      </c>
      <c r="B78" s="395"/>
      <c r="C78" s="395"/>
      <c r="D78" s="395"/>
      <c r="F78" s="236"/>
      <c r="H78" s="75"/>
      <c r="I78" s="75"/>
      <c r="J78" s="75"/>
      <c r="K78" s="75"/>
      <c r="L78" s="75"/>
      <c r="M78" s="75"/>
      <c r="N78" s="75"/>
      <c r="O78" s="75"/>
    </row>
    <row r="79" spans="1:15" s="237" customFormat="1" ht="60.75" customHeight="1" x14ac:dyDescent="0.2">
      <c r="A79" s="394" t="s">
        <v>196</v>
      </c>
      <c r="B79" s="395"/>
      <c r="C79" s="395"/>
      <c r="D79" s="395"/>
      <c r="E79" s="75"/>
      <c r="F79" s="236"/>
      <c r="H79" s="75"/>
      <c r="I79" s="75"/>
      <c r="J79" s="75"/>
      <c r="K79" s="75"/>
      <c r="L79" s="75"/>
      <c r="M79" s="75"/>
      <c r="N79" s="75"/>
      <c r="O79" s="75"/>
    </row>
    <row r="80" spans="1:15" ht="34.5" customHeight="1" x14ac:dyDescent="0.2">
      <c r="A80" s="396" t="s">
        <v>95</v>
      </c>
      <c r="B80" s="397"/>
      <c r="C80" s="397"/>
      <c r="D80" s="397"/>
      <c r="E80" s="29"/>
      <c r="F80" s="54"/>
      <c r="G80" s="29"/>
      <c r="H80" s="29"/>
      <c r="I80" s="29"/>
      <c r="J80" s="29"/>
      <c r="K80" s="29"/>
      <c r="L80" s="29"/>
      <c r="M80" s="29"/>
      <c r="N80" s="29"/>
      <c r="O80" s="29"/>
    </row>
    <row r="81" spans="1:15" x14ac:dyDescent="0.2">
      <c r="A81" s="29"/>
      <c r="B81" s="29"/>
      <c r="C81" s="76"/>
      <c r="D81" s="46"/>
      <c r="E81" s="29"/>
      <c r="F81" s="54"/>
      <c r="G81" s="29"/>
      <c r="H81" s="29"/>
      <c r="I81" s="29"/>
      <c r="J81" s="29"/>
      <c r="K81" s="29"/>
      <c r="L81" s="29"/>
      <c r="M81" s="29"/>
      <c r="N81" s="29"/>
      <c r="O81" s="29"/>
    </row>
    <row r="82" spans="1:15" x14ac:dyDescent="0.2">
      <c r="A82" s="29" t="s">
        <v>100</v>
      </c>
      <c r="B82" s="29"/>
      <c r="C82" s="76"/>
      <c r="D82" s="46"/>
      <c r="E82" s="29"/>
      <c r="F82" s="54"/>
      <c r="G82" s="29"/>
      <c r="H82" s="29"/>
      <c r="I82" s="29"/>
      <c r="J82" s="29"/>
      <c r="K82" s="29"/>
      <c r="L82" s="29"/>
      <c r="M82" s="29"/>
      <c r="N82" s="29"/>
      <c r="O82" s="29"/>
    </row>
  </sheetData>
  <sheetProtection password="DA1B" sheet="1" objects="1" scenarios="1"/>
  <mergeCells count="8">
    <mergeCell ref="A15:D15"/>
    <mergeCell ref="A80:D80"/>
    <mergeCell ref="A74:D74"/>
    <mergeCell ref="A75:D75"/>
    <mergeCell ref="A76:D76"/>
    <mergeCell ref="A77:D77"/>
    <mergeCell ref="A78:D78"/>
    <mergeCell ref="A79:D79"/>
  </mergeCells>
  <pageMargins left="0.75" right="0.75" top="1" bottom="1" header="0.5" footer="0.5"/>
  <pageSetup scale="7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82"/>
  <sheetViews>
    <sheetView zoomScaleNormal="100" zoomScaleSheetLayoutView="115" workbookViewId="0"/>
  </sheetViews>
  <sheetFormatPr defaultColWidth="9.140625" defaultRowHeight="12.75" x14ac:dyDescent="0.2"/>
  <cols>
    <col min="1" max="1" width="31.140625" style="25" customWidth="1"/>
    <col min="2" max="2" width="17.85546875" style="25" customWidth="1"/>
    <col min="3" max="3" width="23.28515625" style="25" customWidth="1"/>
    <col min="4" max="4" width="14.140625" style="25" customWidth="1"/>
    <col min="5" max="5" width="13.7109375" style="25" bestFit="1" customWidth="1"/>
    <col min="6" max="6" width="86.7109375" style="25" bestFit="1" customWidth="1"/>
    <col min="7" max="16384" width="9.140625" style="25"/>
  </cols>
  <sheetData>
    <row r="1" spans="1:6" customFormat="1" ht="20.25" customHeight="1" x14ac:dyDescent="0.2">
      <c r="A1" s="25"/>
      <c r="B1" s="25"/>
      <c r="C1" s="90"/>
      <c r="D1" s="177" t="s">
        <v>167</v>
      </c>
      <c r="E1" s="178" t="str">
        <f>Ballast!$H$1</f>
        <v>4095-GBPSH</v>
      </c>
    </row>
    <row r="2" spans="1:6" customFormat="1" ht="20.25" customHeight="1" x14ac:dyDescent="0.2">
      <c r="A2" s="25"/>
      <c r="B2" s="25"/>
      <c r="C2" s="90"/>
      <c r="D2" s="179" t="s">
        <v>168</v>
      </c>
      <c r="E2" s="180" t="str">
        <f>Ballast!$H$2</f>
        <v>F</v>
      </c>
    </row>
    <row r="3" spans="1:6" customFormat="1" ht="20.25" customHeight="1" x14ac:dyDescent="0.2">
      <c r="A3" s="25"/>
      <c r="B3" s="25"/>
      <c r="C3" s="90"/>
      <c r="D3" s="179" t="s">
        <v>1</v>
      </c>
      <c r="E3" s="181">
        <f>Ballast!$H$3</f>
        <v>41813</v>
      </c>
    </row>
    <row r="4" spans="1:6" customFormat="1" ht="20.25" customHeight="1" thickBot="1" x14ac:dyDescent="0.25">
      <c r="A4" s="25"/>
      <c r="B4" s="25"/>
      <c r="C4" s="90"/>
      <c r="D4" s="182" t="s">
        <v>169</v>
      </c>
      <c r="E4" s="183">
        <f>Ballast!$H$4</f>
        <v>12698</v>
      </c>
    </row>
    <row r="5" spans="1:6" customFormat="1" ht="15" customHeight="1" thickBot="1" x14ac:dyDescent="0.25">
      <c r="A5" s="25"/>
      <c r="B5" s="25"/>
      <c r="C5" s="90"/>
      <c r="D5" s="90"/>
      <c r="E5" s="90"/>
    </row>
    <row r="6" spans="1:6" customFormat="1" ht="15" customHeight="1" thickTop="1" thickBot="1" x14ac:dyDescent="0.25">
      <c r="A6" s="217"/>
      <c r="B6" s="217"/>
      <c r="C6" s="187"/>
      <c r="D6" s="187"/>
      <c r="E6" s="187"/>
    </row>
    <row r="7" spans="1:6" x14ac:dyDescent="0.2">
      <c r="A7" s="174" t="s">
        <v>38</v>
      </c>
      <c r="B7" s="247" t="str">
        <f>IF(ISBLANK(Ballast!C13),"",Ballast!C13)</f>
        <v/>
      </c>
      <c r="C7" s="90"/>
      <c r="D7" s="90"/>
      <c r="E7" s="90"/>
      <c r="F7" s="33"/>
    </row>
    <row r="8" spans="1:6" ht="13.5" thickBot="1" x14ac:dyDescent="0.25">
      <c r="A8" s="175" t="s">
        <v>1</v>
      </c>
      <c r="B8" s="248" t="str">
        <f>IF(ISBLANK(Ballast!C15),"",Ballast!C15)</f>
        <v/>
      </c>
      <c r="C8" s="90"/>
      <c r="D8" s="90"/>
      <c r="E8" s="90"/>
      <c r="F8" s="33"/>
    </row>
    <row r="9" spans="1:6" x14ac:dyDescent="0.2">
      <c r="A9" s="238"/>
      <c r="B9" s="239"/>
      <c r="C9" s="90"/>
      <c r="D9" s="90"/>
      <c r="E9" s="90"/>
      <c r="F9" s="33"/>
    </row>
    <row r="10" spans="1:6" x14ac:dyDescent="0.2">
      <c r="A10" s="238"/>
      <c r="B10" s="239"/>
      <c r="C10" s="90"/>
      <c r="D10" s="90"/>
      <c r="E10" s="90"/>
      <c r="F10" s="33"/>
    </row>
    <row r="11" spans="1:6" x14ac:dyDescent="0.2">
      <c r="A11" s="238"/>
      <c r="B11" s="239"/>
      <c r="C11" s="90"/>
      <c r="D11" s="90"/>
      <c r="E11" s="90"/>
      <c r="F11" s="33"/>
    </row>
    <row r="12" spans="1:6" x14ac:dyDescent="0.2">
      <c r="A12" s="238"/>
      <c r="B12" s="239"/>
      <c r="C12" s="90"/>
      <c r="D12" s="90"/>
      <c r="E12" s="90"/>
      <c r="F12" s="33"/>
    </row>
    <row r="13" spans="1:6" x14ac:dyDescent="0.2">
      <c r="A13" s="238"/>
      <c r="B13" s="239"/>
      <c r="C13" s="90"/>
      <c r="D13" s="90"/>
      <c r="E13" s="90"/>
      <c r="F13" s="33"/>
    </row>
    <row r="14" spans="1:6" x14ac:dyDescent="0.2">
      <c r="A14" s="238"/>
      <c r="B14" s="239"/>
      <c r="C14" s="90"/>
      <c r="D14" s="90"/>
      <c r="E14" s="90"/>
      <c r="F14" s="33"/>
    </row>
    <row r="15" spans="1:6" x14ac:dyDescent="0.2">
      <c r="A15" s="393" t="s">
        <v>186</v>
      </c>
      <c r="B15" s="393"/>
      <c r="C15" s="393"/>
      <c r="D15" s="393"/>
      <c r="E15" s="90"/>
      <c r="F15" s="33"/>
    </row>
    <row r="16" spans="1:6" ht="13.5" thickBot="1" x14ac:dyDescent="0.25">
      <c r="A16" s="34"/>
      <c r="C16" s="90"/>
      <c r="D16" s="90"/>
      <c r="E16" s="90"/>
      <c r="F16" s="33"/>
    </row>
    <row r="17" spans="1:6" x14ac:dyDescent="0.2">
      <c r="A17" s="35" t="s">
        <v>69</v>
      </c>
      <c r="B17" s="36"/>
      <c r="C17" s="188"/>
      <c r="D17" s="189"/>
      <c r="E17" s="90"/>
      <c r="F17" s="33"/>
    </row>
    <row r="18" spans="1:6" x14ac:dyDescent="0.2">
      <c r="A18" s="38"/>
      <c r="B18" s="39" t="s">
        <v>48</v>
      </c>
      <c r="C18" s="77">
        <v>0</v>
      </c>
      <c r="D18" s="40" t="s">
        <v>10</v>
      </c>
      <c r="E18" s="192" t="str">
        <f>IF(C18&gt;5000,"Error: scale reading too high",IF(C18&lt;0,"Error: scale reading should be positive",""))</f>
        <v/>
      </c>
      <c r="F18" s="33"/>
    </row>
    <row r="19" spans="1:6" x14ac:dyDescent="0.2">
      <c r="A19" s="41"/>
      <c r="B19" s="42" t="s">
        <v>49</v>
      </c>
      <c r="C19" s="77">
        <v>0</v>
      </c>
      <c r="D19" s="40" t="s">
        <v>10</v>
      </c>
      <c r="E19" s="192" t="str">
        <f>IF(C19&gt;5000,"Error: scale reading too high",IF(C19&lt;0,"Error: scale reading should be positive",""))</f>
        <v/>
      </c>
      <c r="F19" s="33"/>
    </row>
    <row r="20" spans="1:6" x14ac:dyDescent="0.2">
      <c r="A20" s="41"/>
      <c r="B20" s="42" t="s">
        <v>50</v>
      </c>
      <c r="C20" s="194">
        <f>Ballast!G39</f>
        <v>0</v>
      </c>
      <c r="D20" s="40" t="s">
        <v>10</v>
      </c>
      <c r="E20" s="90"/>
      <c r="F20" s="33"/>
    </row>
    <row r="21" spans="1:6" x14ac:dyDescent="0.2">
      <c r="A21" s="43"/>
      <c r="B21" s="44" t="str">
        <f>IF((C18+C19-C20)&gt;0,"Total weight to remove:","Total weight to add:")</f>
        <v>Total weight to add:</v>
      </c>
      <c r="C21" s="196">
        <f>ABS(C18+C19-C20)</f>
        <v>0</v>
      </c>
      <c r="D21" s="45" t="s">
        <v>10</v>
      </c>
      <c r="E21" s="90"/>
      <c r="F21" s="33"/>
    </row>
    <row r="22" spans="1:6" x14ac:dyDescent="0.2">
      <c r="A22" s="193"/>
      <c r="B22" s="197"/>
      <c r="C22" s="198"/>
      <c r="D22" s="40"/>
      <c r="E22" s="90"/>
      <c r="F22" s="33"/>
    </row>
    <row r="23" spans="1:6" x14ac:dyDescent="0.2">
      <c r="A23" s="193"/>
      <c r="B23" s="47" t="s">
        <v>47</v>
      </c>
      <c r="C23" s="48" t="s">
        <v>51</v>
      </c>
      <c r="D23" s="40"/>
      <c r="E23" s="90"/>
      <c r="F23" s="33"/>
    </row>
    <row r="24" spans="1:6" x14ac:dyDescent="0.2">
      <c r="A24" s="193"/>
      <c r="B24" s="49" t="s">
        <v>75</v>
      </c>
      <c r="C24" s="49" t="s">
        <v>75</v>
      </c>
      <c r="D24" s="40"/>
      <c r="E24" s="90"/>
      <c r="F24" s="33"/>
    </row>
    <row r="25" spans="1:6" x14ac:dyDescent="0.2">
      <c r="A25" s="50" t="s">
        <v>42</v>
      </c>
      <c r="B25" s="227">
        <v>1</v>
      </c>
      <c r="C25" s="199">
        <f>B25-$C$31</f>
        <v>-24</v>
      </c>
      <c r="D25" s="40"/>
      <c r="E25" s="90" t="str">
        <f>IF(B25&lt;-10,"Error: Check scale position",IF(B25&gt;30, "Error, check scale position",""))</f>
        <v/>
      </c>
      <c r="F25" s="33"/>
    </row>
    <row r="26" spans="1:6" x14ac:dyDescent="0.2">
      <c r="A26" s="50" t="s">
        <v>43</v>
      </c>
      <c r="B26" s="227">
        <v>54.25</v>
      </c>
      <c r="C26" s="199">
        <f>B26-$C$31</f>
        <v>29.25</v>
      </c>
      <c r="D26" s="40"/>
      <c r="E26" s="90" t="str">
        <f>IF(B26&lt;20,"Error: Check scale position",IF(B26&gt;70, "Error, check scale position",""))</f>
        <v/>
      </c>
      <c r="F26" s="33"/>
    </row>
    <row r="27" spans="1:6" x14ac:dyDescent="0.2">
      <c r="A27" s="41"/>
      <c r="B27" s="28"/>
      <c r="C27" s="197"/>
      <c r="D27" s="40"/>
      <c r="E27" s="90"/>
      <c r="F27" s="33"/>
    </row>
    <row r="28" spans="1:6" ht="13.5" thickBot="1" x14ac:dyDescent="0.25">
      <c r="A28" s="51"/>
      <c r="B28" s="52" t="s">
        <v>83</v>
      </c>
      <c r="C28" s="186">
        <f>(C18*C25)+(C19*C26)</f>
        <v>0</v>
      </c>
      <c r="D28" s="53" t="s">
        <v>39</v>
      </c>
      <c r="E28" s="90"/>
      <c r="F28" s="33"/>
    </row>
    <row r="29" spans="1:6" ht="13.5" thickBot="1" x14ac:dyDescent="0.25">
      <c r="A29" s="197"/>
      <c r="B29" s="202"/>
      <c r="C29" s="197"/>
      <c r="D29" s="197"/>
      <c r="E29" s="197"/>
      <c r="F29" s="54" t="s">
        <v>90</v>
      </c>
    </row>
    <row r="30" spans="1:6" x14ac:dyDescent="0.2">
      <c r="A30" s="55" t="s">
        <v>45</v>
      </c>
      <c r="B30" s="188"/>
      <c r="C30" s="188"/>
      <c r="D30" s="189"/>
      <c r="E30" s="197"/>
      <c r="F30" s="33" t="s">
        <v>70</v>
      </c>
    </row>
    <row r="31" spans="1:6" x14ac:dyDescent="0.2">
      <c r="A31" s="41"/>
      <c r="B31" s="56" t="s">
        <v>44</v>
      </c>
      <c r="C31" s="79">
        <v>25</v>
      </c>
      <c r="D31" s="203"/>
      <c r="E31" s="197"/>
      <c r="F31" s="33" t="s">
        <v>46</v>
      </c>
    </row>
    <row r="32" spans="1:6" ht="13.5" thickBot="1" x14ac:dyDescent="0.25">
      <c r="A32" s="41"/>
      <c r="B32" s="197"/>
      <c r="C32" s="197"/>
      <c r="D32" s="191"/>
      <c r="E32" s="197"/>
      <c r="F32" s="33" t="s">
        <v>77</v>
      </c>
    </row>
    <row r="33" spans="1:6" x14ac:dyDescent="0.2">
      <c r="A33" s="57" t="s">
        <v>53</v>
      </c>
      <c r="B33" s="57" t="s">
        <v>74</v>
      </c>
      <c r="C33" s="57" t="s">
        <v>76</v>
      </c>
      <c r="D33" s="191"/>
      <c r="E33" s="197"/>
      <c r="F33" s="33" t="s">
        <v>96</v>
      </c>
    </row>
    <row r="34" spans="1:6" ht="13.5" thickBot="1" x14ac:dyDescent="0.25">
      <c r="A34" s="58"/>
      <c r="B34" s="58" t="s">
        <v>75</v>
      </c>
      <c r="C34" s="58" t="s">
        <v>75</v>
      </c>
      <c r="D34" s="191"/>
      <c r="E34" s="197"/>
      <c r="F34" s="33" t="s">
        <v>97</v>
      </c>
    </row>
    <row r="35" spans="1:6" x14ac:dyDescent="0.2">
      <c r="A35" s="214" t="s">
        <v>87</v>
      </c>
      <c r="B35" s="80">
        <v>2</v>
      </c>
      <c r="C35" s="204">
        <f t="shared" ref="C35:C42" si="0">B35-C$31</f>
        <v>-23</v>
      </c>
      <c r="D35" s="191"/>
      <c r="E35" s="197"/>
      <c r="F35" s="33"/>
    </row>
    <row r="36" spans="1:6" x14ac:dyDescent="0.2">
      <c r="A36" s="225" t="s">
        <v>116</v>
      </c>
      <c r="B36" s="81">
        <v>2.125</v>
      </c>
      <c r="C36" s="199">
        <f t="shared" si="0"/>
        <v>-22.875</v>
      </c>
      <c r="D36" s="191"/>
      <c r="E36" s="197"/>
    </row>
    <row r="37" spans="1:6" x14ac:dyDescent="0.2">
      <c r="A37" s="225" t="s">
        <v>207</v>
      </c>
      <c r="B37" s="81">
        <v>19.5</v>
      </c>
      <c r="C37" s="199">
        <f t="shared" si="0"/>
        <v>-5.5</v>
      </c>
      <c r="D37" s="191"/>
      <c r="E37" s="197"/>
      <c r="F37" s="33"/>
    </row>
    <row r="38" spans="1:6" x14ac:dyDescent="0.2">
      <c r="A38" s="225" t="s">
        <v>175</v>
      </c>
      <c r="B38" s="82">
        <v>9999</v>
      </c>
      <c r="C38" s="199">
        <f t="shared" si="0"/>
        <v>9974</v>
      </c>
      <c r="D38" s="191"/>
      <c r="E38" s="197"/>
      <c r="F38" s="33"/>
    </row>
    <row r="39" spans="1:6" x14ac:dyDescent="0.2">
      <c r="A39" s="225" t="s">
        <v>185</v>
      </c>
      <c r="B39" s="235">
        <v>9999</v>
      </c>
      <c r="C39" s="199">
        <f t="shared" si="0"/>
        <v>9974</v>
      </c>
      <c r="D39" s="191"/>
      <c r="E39" s="197"/>
      <c r="F39" s="33"/>
    </row>
    <row r="40" spans="1:6" x14ac:dyDescent="0.2">
      <c r="A40" s="225" t="s">
        <v>176</v>
      </c>
      <c r="B40" s="82">
        <v>9999</v>
      </c>
      <c r="C40" s="199">
        <f t="shared" si="0"/>
        <v>9974</v>
      </c>
      <c r="D40" s="191"/>
      <c r="E40" s="197"/>
      <c r="F40" s="33"/>
    </row>
    <row r="41" spans="1:6" x14ac:dyDescent="0.2">
      <c r="A41" s="225" t="s">
        <v>115</v>
      </c>
      <c r="B41" s="81">
        <v>35.25</v>
      </c>
      <c r="C41" s="199">
        <f t="shared" si="0"/>
        <v>10.25</v>
      </c>
      <c r="D41" s="191"/>
      <c r="E41" s="197"/>
      <c r="F41" s="33"/>
    </row>
    <row r="42" spans="1:6" ht="13.5" thickBot="1" x14ac:dyDescent="0.25">
      <c r="A42" s="216" t="s">
        <v>40</v>
      </c>
      <c r="B42" s="83">
        <v>54.75</v>
      </c>
      <c r="C42" s="205">
        <f t="shared" si="0"/>
        <v>29.75</v>
      </c>
      <c r="D42" s="206"/>
      <c r="E42" s="197"/>
      <c r="F42" s="33"/>
    </row>
    <row r="43" spans="1:6" ht="13.5" thickBot="1" x14ac:dyDescent="0.25">
      <c r="B43" s="90"/>
      <c r="C43" s="90"/>
      <c r="D43" s="90"/>
      <c r="E43" s="90"/>
      <c r="F43" s="33"/>
    </row>
    <row r="44" spans="1:6" x14ac:dyDescent="0.2">
      <c r="A44" s="55" t="s">
        <v>66</v>
      </c>
      <c r="B44" s="188"/>
      <c r="C44" s="188"/>
      <c r="D44" s="189"/>
      <c r="E44" s="90"/>
      <c r="F44" s="33"/>
    </row>
    <row r="45" spans="1:6" ht="13.5" thickBot="1" x14ac:dyDescent="0.25">
      <c r="A45" s="41"/>
      <c r="B45" s="197"/>
      <c r="C45" s="197"/>
      <c r="D45" s="191"/>
      <c r="E45" s="90"/>
      <c r="F45" s="33"/>
    </row>
    <row r="46" spans="1:6" ht="25.5" x14ac:dyDescent="0.2">
      <c r="A46" s="57" t="s">
        <v>84</v>
      </c>
      <c r="B46" s="57" t="s">
        <v>67</v>
      </c>
      <c r="C46" s="36" t="s">
        <v>60</v>
      </c>
      <c r="D46" s="173" t="s">
        <v>61</v>
      </c>
      <c r="E46" s="212" t="s">
        <v>98</v>
      </c>
      <c r="F46" s="33"/>
    </row>
    <row r="47" spans="1:6" ht="13.5" thickBot="1" x14ac:dyDescent="0.25">
      <c r="A47" s="60" t="s">
        <v>85</v>
      </c>
      <c r="B47" s="58"/>
      <c r="C47" s="61" t="s">
        <v>72</v>
      </c>
      <c r="D47" s="60" t="s">
        <v>73</v>
      </c>
      <c r="E47" s="213" t="s">
        <v>99</v>
      </c>
      <c r="F47" s="33"/>
    </row>
    <row r="48" spans="1:6" x14ac:dyDescent="0.2">
      <c r="A48" s="84">
        <v>1</v>
      </c>
      <c r="B48" s="62" t="str">
        <f t="shared" ref="B48:B55" si="1">A35</f>
        <v>Forward</v>
      </c>
      <c r="C48" s="85">
        <v>0</v>
      </c>
      <c r="D48" s="207">
        <f t="shared" ref="D48:D55" si="2">C35*C48</f>
        <v>0</v>
      </c>
      <c r="E48" s="91"/>
      <c r="F48" s="94" t="str">
        <f t="shared" ref="F48:F56" si="3">IF(ABS(C48)&gt;5000,"Error: Weight adjustment too high","")</f>
        <v/>
      </c>
    </row>
    <row r="49" spans="1:6" x14ac:dyDescent="0.2">
      <c r="A49" s="85">
        <v>0</v>
      </c>
      <c r="B49" s="62" t="str">
        <f t="shared" si="1"/>
        <v>Nose Weights</v>
      </c>
      <c r="C49" s="85">
        <v>0</v>
      </c>
      <c r="D49" s="207">
        <f t="shared" si="2"/>
        <v>0</v>
      </c>
      <c r="E49" s="92"/>
      <c r="F49" s="94" t="str">
        <f t="shared" si="3"/>
        <v/>
      </c>
    </row>
    <row r="50" spans="1:6" x14ac:dyDescent="0.2">
      <c r="A50" s="85">
        <v>1</v>
      </c>
      <c r="B50" s="62" t="str">
        <f t="shared" si="1"/>
        <v>Sci bay fwd plates</v>
      </c>
      <c r="C50" s="85">
        <v>0</v>
      </c>
      <c r="D50" s="207">
        <f t="shared" si="2"/>
        <v>0</v>
      </c>
      <c r="E50" s="92"/>
      <c r="F50" s="94" t="str">
        <f t="shared" si="3"/>
        <v/>
      </c>
    </row>
    <row r="51" spans="1:6" x14ac:dyDescent="0.2">
      <c r="A51" s="85">
        <v>0</v>
      </c>
      <c r="B51" s="62" t="str">
        <f t="shared" si="1"/>
        <v>Sci fwd disc(unused)</v>
      </c>
      <c r="C51" s="85">
        <v>0</v>
      </c>
      <c r="D51" s="207">
        <f t="shared" si="2"/>
        <v>0</v>
      </c>
      <c r="E51" s="92"/>
      <c r="F51" s="94" t="str">
        <f t="shared" si="3"/>
        <v/>
      </c>
    </row>
    <row r="52" spans="1:6" x14ac:dyDescent="0.2">
      <c r="A52" s="85">
        <v>1</v>
      </c>
      <c r="B52" s="62" t="str">
        <f t="shared" si="1"/>
        <v>Center (unused)</v>
      </c>
      <c r="C52" s="85">
        <v>0</v>
      </c>
      <c r="D52" s="207">
        <f t="shared" si="2"/>
        <v>0</v>
      </c>
      <c r="E52" s="92"/>
      <c r="F52" s="94" t="str">
        <f t="shared" si="3"/>
        <v/>
      </c>
    </row>
    <row r="53" spans="1:6" x14ac:dyDescent="0.2">
      <c r="A53" s="85">
        <v>0</v>
      </c>
      <c r="B53" s="62" t="str">
        <f t="shared" si="1"/>
        <v>Sci aft disc(unused)</v>
      </c>
      <c r="C53" s="85">
        <v>0</v>
      </c>
      <c r="D53" s="207">
        <f t="shared" si="2"/>
        <v>0</v>
      </c>
      <c r="E53" s="92"/>
      <c r="F53" s="94" t="str">
        <f t="shared" si="3"/>
        <v/>
      </c>
    </row>
    <row r="54" spans="1:6" x14ac:dyDescent="0.2">
      <c r="A54" s="85">
        <v>1</v>
      </c>
      <c r="B54" s="62" t="str">
        <f t="shared" si="1"/>
        <v>Sci aft plates</v>
      </c>
      <c r="C54" s="85">
        <v>0</v>
      </c>
      <c r="D54" s="207">
        <f t="shared" si="2"/>
        <v>0</v>
      </c>
      <c r="E54" s="92"/>
      <c r="F54" s="94" t="str">
        <f t="shared" si="3"/>
        <v/>
      </c>
    </row>
    <row r="55" spans="1:6" ht="13.5" thickBot="1" x14ac:dyDescent="0.25">
      <c r="A55" s="86">
        <v>1</v>
      </c>
      <c r="B55" s="58" t="str">
        <f t="shared" si="1"/>
        <v>Aft</v>
      </c>
      <c r="C55" s="86">
        <v>0</v>
      </c>
      <c r="D55" s="208">
        <f t="shared" si="2"/>
        <v>0</v>
      </c>
      <c r="E55" s="93"/>
      <c r="F55" s="94" t="str">
        <f t="shared" si="3"/>
        <v/>
      </c>
    </row>
    <row r="56" spans="1:6" ht="13.5" thickBot="1" x14ac:dyDescent="0.25">
      <c r="A56" s="201"/>
      <c r="B56" s="209"/>
      <c r="C56" s="186">
        <f>SUM(C48:C55)</f>
        <v>0</v>
      </c>
      <c r="D56" s="210">
        <f>SUM(D48:D55)</f>
        <v>0</v>
      </c>
      <c r="E56" s="90"/>
      <c r="F56" s="94" t="str">
        <f t="shared" si="3"/>
        <v/>
      </c>
    </row>
    <row r="57" spans="1:6" ht="13.5" thickBot="1" x14ac:dyDescent="0.25">
      <c r="A57" s="90"/>
      <c r="B57" s="90"/>
      <c r="C57" s="90"/>
      <c r="D57" s="90"/>
      <c r="E57" s="90"/>
      <c r="F57" s="33"/>
    </row>
    <row r="58" spans="1:6" x14ac:dyDescent="0.2">
      <c r="A58" s="55" t="s">
        <v>68</v>
      </c>
      <c r="B58" s="36"/>
      <c r="C58" s="36"/>
      <c r="D58" s="37"/>
      <c r="E58" s="29"/>
      <c r="F58" s="63"/>
    </row>
    <row r="59" spans="1:6" x14ac:dyDescent="0.2">
      <c r="A59" s="41"/>
      <c r="B59" s="64">
        <f>ABS((C18+C19-C20)+C56)</f>
        <v>0</v>
      </c>
      <c r="C59" s="31" t="str">
        <f>IF(((C18+C19-C20)+C56)&gt;=0,"additional grams need to be removed", "additional grams need to be added")</f>
        <v>additional grams need to be removed</v>
      </c>
      <c r="D59" s="40"/>
      <c r="E59" s="29"/>
      <c r="F59" s="54"/>
    </row>
    <row r="60" spans="1:6" x14ac:dyDescent="0.2">
      <c r="A60" s="41"/>
      <c r="B60" s="46">
        <f>ABS((C28+D56)/(B71-B70))</f>
        <v>0</v>
      </c>
      <c r="C60" s="46" t="str">
        <f>CONCATENATE("Grams need to move from ",IF((C28+D56)&lt;=0,INDEX(A35:A42,B67,1),INDEX(A35:A42,B68,1))," to ",IF((C28+D56)&lt;=0,INDEX(A35:A42,B68,1),INDEX(A35:A42,B67,1)))</f>
        <v>Grams need to move from Forward to Aft</v>
      </c>
      <c r="D60" s="40"/>
      <c r="E60" s="29"/>
      <c r="F60" s="54"/>
    </row>
    <row r="61" spans="1:6" x14ac:dyDescent="0.2">
      <c r="A61" s="41"/>
      <c r="B61" s="46">
        <f>INDEX(C48:C55,IF(A48,1,IF(A49,2,IF(A50,3,IF(A51,4,IF(A52,5,IF(A53,6,IF(A54,7,"Error"))))))))+(C28+D56)/(INDEX(C35:C42,IF(A55,8,IF(A54,7,IF(A53,6,IF(A52,5,IF(A51,4,IF(A50,3,IF(A49,2,"error"))))))))-INDEX(C35:C42,IF(A48,1,IF(A49,2,IF(A50,3,IF(A51,4,IF(A52,5,IF(A53,6,IF(A54,7,"Error")))))))))</f>
        <v>0</v>
      </c>
      <c r="C61" s="66" t="str">
        <f>CONCATENATE("Change ",INDEX(A35:A42,B67,1)," to this:")</f>
        <v>Change Forward to this:</v>
      </c>
      <c r="D61" s="40"/>
      <c r="E61" s="29"/>
      <c r="F61" s="54" t="s">
        <v>93</v>
      </c>
    </row>
    <row r="62" spans="1:6" ht="13.5" thickBot="1" x14ac:dyDescent="0.25">
      <c r="A62" s="51"/>
      <c r="B62" s="67">
        <f>INDEX(C48:C55,IF(A55,8,IF(A54,7,IF(A53,6,IF(A52,5,IF(A51,4,IF(A50,3,IF(A49,2,"error"))))))))-((C28+D56)/(INDEX(C35:C42,IF(A55,8,IF(A54,7,IF(A53,6,IF(A52,5,IF(A51,4,IF(A50,3,IF(A49,2,"error"))))))))-INDEX(C35:C42,IF(A48,1,IF(A49,2,IF(A50,3,IF(A51,4,IF(A52,5,IF(A53,6,IF(A54,7,"Error"))))))))))</f>
        <v>0</v>
      </c>
      <c r="C62" s="68" t="str">
        <f>CONCATENATE("Change ",INDEX(A35:A42,B68,1)," to this:")</f>
        <v>Change Aft to this:</v>
      </c>
      <c r="D62" s="59"/>
      <c r="E62" s="29"/>
      <c r="F62" s="54" t="s">
        <v>94</v>
      </c>
    </row>
    <row r="63" spans="1:6" x14ac:dyDescent="0.2">
      <c r="A63" s="29"/>
      <c r="B63" s="46"/>
      <c r="C63" s="66"/>
      <c r="D63" s="321"/>
      <c r="E63" s="29"/>
      <c r="F63" s="29"/>
    </row>
    <row r="64" spans="1:6" x14ac:dyDescent="0.2">
      <c r="A64" s="29"/>
      <c r="B64" s="46"/>
      <c r="C64" s="66"/>
      <c r="D64" s="29"/>
      <c r="E64" s="29"/>
      <c r="F64" s="29"/>
    </row>
    <row r="65" spans="1:15" s="4" customFormat="1" x14ac:dyDescent="0.2">
      <c r="A65" s="1"/>
      <c r="B65" s="1"/>
      <c r="C65" s="1"/>
      <c r="D65" s="1"/>
      <c r="E65" s="1"/>
      <c r="F65" s="1"/>
    </row>
    <row r="66" spans="1:15" s="4" customFormat="1" hidden="1" x14ac:dyDescent="0.2">
      <c r="A66" s="5" t="s">
        <v>71</v>
      </c>
      <c r="B66" s="6"/>
      <c r="C66" s="6"/>
      <c r="D66" s="7"/>
    </row>
    <row r="67" spans="1:15" s="4" customFormat="1" hidden="1" x14ac:dyDescent="0.2">
      <c r="A67" s="11"/>
      <c r="B67" s="12">
        <f>IF(A48,1,IF(A49,2,IF(A50,3,IF(A51,4,IF(A52,5,IF(A53,6,IF(A54,7,"Error")))))))</f>
        <v>1</v>
      </c>
      <c r="C67" s="12" t="s">
        <v>62</v>
      </c>
      <c r="D67" s="13"/>
    </row>
    <row r="68" spans="1:15" s="4" customFormat="1" hidden="1" x14ac:dyDescent="0.2">
      <c r="A68" s="11"/>
      <c r="B68" s="12">
        <f>IF(A55,8,IF(A54,7,IF(A53,6,IF(A52,5,IF(A51,4,IF(A50,3,IF(A49,2,"error")))))))</f>
        <v>8</v>
      </c>
      <c r="C68" s="12" t="s">
        <v>63</v>
      </c>
      <c r="D68" s="13"/>
    </row>
    <row r="69" spans="1:15" s="4" customFormat="1" hidden="1" x14ac:dyDescent="0.2">
      <c r="A69" s="14"/>
      <c r="B69" s="12"/>
      <c r="C69" s="12"/>
      <c r="D69" s="15"/>
      <c r="E69" s="16"/>
      <c r="F69" s="16"/>
    </row>
    <row r="70" spans="1:15" s="4" customFormat="1" hidden="1" x14ac:dyDescent="0.2">
      <c r="A70" s="11"/>
      <c r="B70" s="12">
        <f>INDEX(C35:C42,IF(A48,1,IF(A49,2,IF(A50,3,IF(A51,4,IF(A52,5,IF(A53,6,IF(A54,7,"Error"))))))))</f>
        <v>-23</v>
      </c>
      <c r="C70" s="12" t="s">
        <v>64</v>
      </c>
      <c r="D70" s="18"/>
      <c r="E70" s="19"/>
      <c r="F70" s="19"/>
    </row>
    <row r="71" spans="1:15" s="4" customFormat="1" ht="13.5" hidden="1" thickBot="1" x14ac:dyDescent="0.25">
      <c r="A71" s="21"/>
      <c r="B71" s="22">
        <f>INDEX(C35:C42,IF(A55,8,IF(A54,7,IF(A53,6,IF(A52,5,IF(A51,4,IF(A50,3,IF(A49,2,"error"))))))))</f>
        <v>29.75</v>
      </c>
      <c r="C71" s="22" t="s">
        <v>65</v>
      </c>
      <c r="D71" s="23"/>
      <c r="E71" s="19"/>
      <c r="F71" s="19"/>
    </row>
    <row r="72" spans="1:15" x14ac:dyDescent="0.2">
      <c r="A72" s="28"/>
      <c r="B72" s="28"/>
      <c r="C72" s="28"/>
      <c r="D72" s="28"/>
      <c r="E72" s="28"/>
      <c r="F72" s="28"/>
    </row>
    <row r="73" spans="1:15" s="28" customFormat="1" x14ac:dyDescent="0.2">
      <c r="A73" s="33" t="s">
        <v>91</v>
      </c>
      <c r="F73" s="69"/>
    </row>
    <row r="74" spans="1:15" s="74" customFormat="1" ht="30.75" customHeight="1" x14ac:dyDescent="0.2">
      <c r="A74" s="398" t="s">
        <v>92</v>
      </c>
      <c r="B74" s="395"/>
      <c r="C74" s="395"/>
      <c r="D74" s="395"/>
      <c r="E74" s="72"/>
      <c r="F74" s="73"/>
    </row>
    <row r="75" spans="1:15" s="237" customFormat="1" ht="73.5" customHeight="1" x14ac:dyDescent="0.2">
      <c r="A75" s="394" t="s">
        <v>192</v>
      </c>
      <c r="B75" s="395"/>
      <c r="C75" s="395"/>
      <c r="D75" s="395"/>
      <c r="F75" s="236"/>
    </row>
    <row r="76" spans="1:15" s="237" customFormat="1" ht="78" customHeight="1" x14ac:dyDescent="0.2">
      <c r="A76" s="394" t="s">
        <v>193</v>
      </c>
      <c r="B76" s="395"/>
      <c r="C76" s="395"/>
      <c r="D76" s="395"/>
      <c r="F76" s="236"/>
      <c r="H76" s="75"/>
      <c r="I76" s="75"/>
      <c r="J76" s="75"/>
      <c r="K76" s="75"/>
      <c r="L76" s="75"/>
      <c r="M76" s="75"/>
      <c r="N76" s="75"/>
      <c r="O76" s="75"/>
    </row>
    <row r="77" spans="1:15" s="237" customFormat="1" ht="78.75" customHeight="1" x14ac:dyDescent="0.2">
      <c r="A77" s="394" t="s">
        <v>194</v>
      </c>
      <c r="B77" s="395"/>
      <c r="C77" s="395"/>
      <c r="D77" s="395"/>
      <c r="F77" s="236"/>
      <c r="H77" s="75"/>
      <c r="I77" s="75"/>
      <c r="J77" s="75"/>
      <c r="K77" s="75"/>
      <c r="L77" s="75"/>
      <c r="M77" s="75"/>
      <c r="N77" s="75"/>
      <c r="O77" s="75"/>
    </row>
    <row r="78" spans="1:15" s="237" customFormat="1" ht="126" customHeight="1" x14ac:dyDescent="0.2">
      <c r="A78" s="394" t="s">
        <v>195</v>
      </c>
      <c r="B78" s="395"/>
      <c r="C78" s="395"/>
      <c r="D78" s="395"/>
      <c r="F78" s="236"/>
      <c r="H78" s="75"/>
      <c r="I78" s="75"/>
      <c r="J78" s="75"/>
      <c r="K78" s="75"/>
      <c r="L78" s="75"/>
      <c r="M78" s="75"/>
      <c r="N78" s="75"/>
      <c r="O78" s="75"/>
    </row>
    <row r="79" spans="1:15" s="237" customFormat="1" ht="60.75" customHeight="1" x14ac:dyDescent="0.2">
      <c r="A79" s="394" t="s">
        <v>196</v>
      </c>
      <c r="B79" s="395"/>
      <c r="C79" s="395"/>
      <c r="D79" s="395"/>
      <c r="E79" s="75"/>
      <c r="F79" s="236"/>
      <c r="H79" s="75"/>
      <c r="I79" s="75"/>
      <c r="J79" s="75"/>
      <c r="K79" s="75"/>
      <c r="L79" s="75"/>
      <c r="M79" s="75"/>
      <c r="N79" s="75"/>
      <c r="O79" s="75"/>
    </row>
    <row r="80" spans="1:15" ht="34.5" customHeight="1" x14ac:dyDescent="0.2">
      <c r="A80" s="396" t="s">
        <v>95</v>
      </c>
      <c r="B80" s="397"/>
      <c r="C80" s="397"/>
      <c r="D80" s="397"/>
      <c r="E80" s="29"/>
      <c r="F80" s="54"/>
      <c r="G80" s="29"/>
      <c r="H80" s="29"/>
      <c r="I80" s="29"/>
      <c r="J80" s="29"/>
      <c r="K80" s="29"/>
      <c r="L80" s="29"/>
      <c r="M80" s="29"/>
      <c r="N80" s="29"/>
      <c r="O80" s="29"/>
    </row>
    <row r="81" spans="1:15" x14ac:dyDescent="0.2">
      <c r="A81" s="29"/>
      <c r="B81" s="29"/>
      <c r="C81" s="76"/>
      <c r="D81" s="46"/>
      <c r="E81" s="29"/>
      <c r="F81" s="54"/>
      <c r="G81" s="29"/>
      <c r="H81" s="29"/>
      <c r="I81" s="29"/>
      <c r="J81" s="29"/>
      <c r="K81" s="29"/>
      <c r="L81" s="29"/>
      <c r="M81" s="29"/>
      <c r="N81" s="29"/>
      <c r="O81" s="29"/>
    </row>
    <row r="82" spans="1:15" x14ac:dyDescent="0.2">
      <c r="A82" s="29" t="s">
        <v>100</v>
      </c>
      <c r="B82" s="29"/>
      <c r="C82" s="76"/>
      <c r="D82" s="46"/>
      <c r="E82" s="29"/>
      <c r="F82" s="54"/>
      <c r="G82" s="29"/>
      <c r="H82" s="29"/>
      <c r="I82" s="29"/>
      <c r="J82" s="29"/>
      <c r="K82" s="29"/>
      <c r="L82" s="29"/>
      <c r="M82" s="29"/>
      <c r="N82" s="29"/>
      <c r="O82" s="29"/>
    </row>
  </sheetData>
  <sheetProtection password="DA1B" sheet="1" objects="1" scenarios="1"/>
  <mergeCells count="8">
    <mergeCell ref="A15:D15"/>
    <mergeCell ref="A80:D80"/>
    <mergeCell ref="A74:D74"/>
    <mergeCell ref="A75:D75"/>
    <mergeCell ref="A76:D76"/>
    <mergeCell ref="A77:D77"/>
    <mergeCell ref="A78:D78"/>
    <mergeCell ref="A79:D79"/>
  </mergeCells>
  <pageMargins left="0.75" right="0.75" top="1" bottom="1" header="0.5" footer="0.5"/>
  <pageSetup scale="7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workbookViewId="0"/>
  </sheetViews>
  <sheetFormatPr defaultRowHeight="12.75" x14ac:dyDescent="0.2"/>
  <cols>
    <col min="1" max="1" width="17.28515625" customWidth="1"/>
    <col min="2" max="2" width="67.140625" customWidth="1"/>
    <col min="3" max="4" width="17.28515625" customWidth="1"/>
  </cols>
  <sheetData>
    <row r="1" spans="1:4" ht="18.75" thickBot="1" x14ac:dyDescent="0.25">
      <c r="A1" s="332" t="s">
        <v>223</v>
      </c>
      <c r="B1" s="332"/>
      <c r="C1" s="333"/>
      <c r="D1" s="333"/>
    </row>
    <row r="2" spans="1:4" ht="15.75" x14ac:dyDescent="0.2">
      <c r="A2" s="334" t="s">
        <v>224</v>
      </c>
      <c r="B2" s="335" t="s">
        <v>225</v>
      </c>
      <c r="C2" s="335" t="s">
        <v>226</v>
      </c>
      <c r="D2" s="336" t="s">
        <v>227</v>
      </c>
    </row>
    <row r="3" spans="1:4" ht="42.75" x14ac:dyDescent="0.2">
      <c r="A3" s="337" t="s">
        <v>218</v>
      </c>
      <c r="B3" s="357" t="s">
        <v>248</v>
      </c>
      <c r="C3" s="339">
        <v>12698</v>
      </c>
      <c r="D3" s="340">
        <v>41813</v>
      </c>
    </row>
    <row r="4" spans="1:4" ht="14.25" x14ac:dyDescent="0.2">
      <c r="A4" s="337"/>
      <c r="B4" s="338"/>
      <c r="C4" s="339"/>
      <c r="D4" s="340"/>
    </row>
    <row r="5" spans="1:4" ht="14.25" x14ac:dyDescent="0.2">
      <c r="A5" s="337"/>
      <c r="B5" s="338"/>
      <c r="C5" s="339"/>
      <c r="D5" s="341"/>
    </row>
    <row r="6" spans="1:4" ht="14.25" x14ac:dyDescent="0.2">
      <c r="A6" s="337"/>
      <c r="B6" s="338"/>
      <c r="C6" s="339"/>
      <c r="D6" s="341"/>
    </row>
    <row r="7" spans="1:4" ht="14.25" x14ac:dyDescent="0.2">
      <c r="A7" s="337"/>
      <c r="B7" s="338"/>
      <c r="C7" s="339"/>
      <c r="D7" s="341"/>
    </row>
    <row r="8" spans="1:4" ht="14.25" x14ac:dyDescent="0.2">
      <c r="A8" s="337"/>
      <c r="B8" s="338"/>
      <c r="C8" s="339"/>
      <c r="D8" s="341"/>
    </row>
    <row r="9" spans="1:4" ht="14.25" x14ac:dyDescent="0.2">
      <c r="A9" s="337"/>
      <c r="B9" s="338"/>
      <c r="C9" s="339"/>
      <c r="D9" s="341"/>
    </row>
    <row r="10" spans="1:4" ht="15" thickBot="1" x14ac:dyDescent="0.25">
      <c r="A10" s="342"/>
      <c r="B10" s="343"/>
      <c r="C10" s="344"/>
      <c r="D10" s="345"/>
    </row>
  </sheetData>
  <sheetProtection password="DA1B" sheet="1" objects="1" scenarios="1"/>
  <pageMargins left="0.7" right="0.7" top="0.75" bottom="0.75" header="0.3" footer="0.3"/>
  <pageSetup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33</vt:i4>
      </vt:variant>
    </vt:vector>
  </HeadingPairs>
  <TitlesOfParts>
    <vt:vector size="43" baseType="lpstr">
      <vt:lpstr>Ballast</vt:lpstr>
      <vt:lpstr>Worksheet</vt:lpstr>
      <vt:lpstr>G1 Shallow</vt:lpstr>
      <vt:lpstr>G1 Deep</vt:lpstr>
      <vt:lpstr>G2</vt:lpstr>
      <vt:lpstr>G2 DVL</vt:lpstr>
      <vt:lpstr>G2 EN</vt:lpstr>
      <vt:lpstr>G2 EnergySci Bay</vt:lpstr>
      <vt:lpstr>Revision History</vt:lpstr>
      <vt:lpstr>Constants</vt:lpstr>
      <vt:lpstr>'G2'!aft_config</vt:lpstr>
      <vt:lpstr>'G2 DVL'!aft_config</vt:lpstr>
      <vt:lpstr>'G2 EN'!aft_config</vt:lpstr>
      <vt:lpstr>'G2 EnergySci Bay'!aft_config</vt:lpstr>
      <vt:lpstr>aft_config</vt:lpstr>
      <vt:lpstr>'G2'!battery_type</vt:lpstr>
      <vt:lpstr>'G2 DVL'!battery_type</vt:lpstr>
      <vt:lpstr>'G2 EN'!battery_type</vt:lpstr>
      <vt:lpstr>'G2 EnergySci Bay'!battery_type</vt:lpstr>
      <vt:lpstr>battery_type</vt:lpstr>
      <vt:lpstr>glider_type</vt:lpstr>
      <vt:lpstr>'G2'!nose_config</vt:lpstr>
      <vt:lpstr>'G2 DVL'!nose_config</vt:lpstr>
      <vt:lpstr>'G2 EN'!nose_config</vt:lpstr>
      <vt:lpstr>'G2 EnergySci Bay'!nose_config</vt:lpstr>
      <vt:lpstr>nose_config</vt:lpstr>
      <vt:lpstr>pinger_style</vt:lpstr>
      <vt:lpstr>pond_wings</vt:lpstr>
      <vt:lpstr>Ballast!Print_Area</vt:lpstr>
      <vt:lpstr>'G1 Deep'!Print_Area</vt:lpstr>
      <vt:lpstr>'G1 Shallow'!Print_Area</vt:lpstr>
      <vt:lpstr>'G2'!Print_Area</vt:lpstr>
      <vt:lpstr>'G2 DVL'!Print_Area</vt:lpstr>
      <vt:lpstr>'G2 EN'!Print_Area</vt:lpstr>
      <vt:lpstr>'G2 EnergySci Bay'!Print_Area</vt:lpstr>
      <vt:lpstr>'Revision History'!Print_Area</vt:lpstr>
      <vt:lpstr>Worksheet!Print_Area</vt:lpstr>
      <vt:lpstr>Ballast!Print_Titles</vt:lpstr>
      <vt:lpstr>'G2'!weight_type</vt:lpstr>
      <vt:lpstr>'G2 DVL'!weight_type</vt:lpstr>
      <vt:lpstr>'G2 EN'!weight_type</vt:lpstr>
      <vt:lpstr>'G2 EnergySci Bay'!weight_type</vt:lpstr>
      <vt:lpstr>weight_type</vt:lpstr>
    </vt:vector>
  </TitlesOfParts>
  <Company>Webb Reseach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GLIDER BALLASTING SPREADSHEET</dc:title>
  <dc:subject>GLIDER</dc:subject>
  <dc:creator>bhurley</dc:creator>
  <cp:lastModifiedBy>Ben Shaw</cp:lastModifiedBy>
  <cp:lastPrinted>2014-05-15T17:59:22Z</cp:lastPrinted>
  <dcterms:created xsi:type="dcterms:W3CDTF">2004-03-12T20:33:34Z</dcterms:created>
  <dcterms:modified xsi:type="dcterms:W3CDTF">2014-07-03T17:08:39Z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Number">
    <vt:lpwstr>
    </vt:lpwstr>
  </property>
  <property fmtid="{D5CDD505-2E9C-101B-9397-08002B2CF9AE}" pid="3" name="Project Name">
    <vt:lpwstr>
    </vt:lpwstr>
  </property>
  <property fmtid="{D5CDD505-2E9C-101B-9397-08002B2CF9AE}" pid="4" name="Date">
    <vt:lpwstr>2011/02/23</vt:lpwstr>
  </property>
  <property fmtid="{D5CDD505-2E9C-101B-9397-08002B2CF9AE}" pid="5" name="Revision">
    <vt:lpwstr>C</vt:lpwstr>
  </property>
  <property fmtid="{D5CDD505-2E9C-101B-9397-08002B2CF9AE}" pid="6" name="Document Number">
    <vt:lpwstr>4095-GBPSH</vt:lpwstr>
  </property>
</Properties>
</file>